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7555" windowHeight="12315"/>
  </bookViews>
  <sheets>
    <sheet name="MAR" sheetId="1" r:id="rId1"/>
    <sheet name="WAR" sheetId="2" r:id="rId2"/>
    <sheet name="MAP" sheetId="3" r:id="rId3"/>
    <sheet name="WAP" sheetId="4" r:id="rId4"/>
    <sheet name="PARA" sheetId="5" r:id="rId5"/>
  </sheets>
  <calcPr calcId="0"/>
</workbook>
</file>

<file path=xl/calcChain.xml><?xml version="1.0" encoding="utf-8"?>
<calcChain xmlns="http://schemas.openxmlformats.org/spreadsheetml/2006/main">
  <c r="K4" i="5" l="1"/>
  <c r="D4" i="5"/>
  <c r="C4" i="5"/>
  <c r="B4" i="5"/>
  <c r="A4" i="5"/>
  <c r="A3" i="5"/>
  <c r="A1" i="5"/>
  <c r="J4" i="4"/>
  <c r="C4" i="4"/>
  <c r="B4" i="4"/>
  <c r="A4" i="4"/>
  <c r="A3" i="4"/>
  <c r="A1" i="4"/>
  <c r="J4" i="3"/>
  <c r="C4" i="3"/>
  <c r="B4" i="3"/>
  <c r="A4" i="3"/>
  <c r="A3" i="3"/>
  <c r="A1" i="3"/>
  <c r="J4" i="2"/>
  <c r="C4" i="2"/>
  <c r="B4" i="2"/>
  <c r="A4" i="2"/>
  <c r="A3" i="2"/>
  <c r="A1" i="2"/>
  <c r="A5" i="2"/>
  <c r="K10" i="5"/>
  <c r="J10" i="5"/>
  <c r="I10" i="5"/>
  <c r="H10" i="5"/>
  <c r="G10" i="5"/>
  <c r="F10" i="5"/>
  <c r="E10" i="5"/>
  <c r="C10" i="5"/>
  <c r="B10" i="5"/>
  <c r="A10" i="5"/>
  <c r="C9" i="5"/>
  <c r="B9" i="5"/>
  <c r="C8" i="5"/>
  <c r="B8" i="5"/>
  <c r="A8" i="5"/>
  <c r="C7" i="5"/>
  <c r="B7" i="5"/>
  <c r="A7" i="5"/>
  <c r="K6" i="5"/>
  <c r="J6" i="5"/>
  <c r="I6" i="5"/>
  <c r="H6" i="5"/>
  <c r="G6" i="5"/>
  <c r="F6" i="5"/>
  <c r="E6" i="5"/>
  <c r="C6" i="5"/>
  <c r="B6" i="5"/>
  <c r="J13" i="4"/>
  <c r="I13" i="4"/>
  <c r="H13" i="4"/>
  <c r="G13" i="4"/>
  <c r="F13" i="4"/>
  <c r="E13" i="4"/>
  <c r="D13" i="4"/>
  <c r="C13" i="4"/>
  <c r="B13" i="4"/>
  <c r="J12" i="4"/>
  <c r="I12" i="4"/>
  <c r="H12" i="4"/>
  <c r="G12" i="4"/>
  <c r="F12" i="4"/>
  <c r="E12" i="4"/>
  <c r="D12" i="4"/>
  <c r="C12" i="4"/>
  <c r="B12" i="4"/>
  <c r="J11" i="4"/>
  <c r="I11" i="4"/>
  <c r="H11" i="4"/>
  <c r="G11" i="4"/>
  <c r="F11" i="4"/>
  <c r="E11" i="4"/>
  <c r="D11" i="4"/>
  <c r="C11" i="4"/>
  <c r="B11" i="4"/>
  <c r="J10" i="4"/>
  <c r="I10" i="4"/>
  <c r="H10" i="4"/>
  <c r="G10" i="4"/>
  <c r="F10" i="4"/>
  <c r="E10" i="4"/>
  <c r="D10" i="4"/>
  <c r="C10" i="4"/>
  <c r="B10" i="4"/>
  <c r="J9" i="4"/>
  <c r="I9" i="4"/>
  <c r="H9" i="4"/>
  <c r="G9" i="4"/>
  <c r="F9" i="4"/>
  <c r="E9" i="4"/>
  <c r="D9" i="4"/>
  <c r="C9" i="4"/>
  <c r="B9" i="4"/>
  <c r="J8" i="4"/>
  <c r="I8" i="4"/>
  <c r="H8" i="4"/>
  <c r="G8" i="4"/>
  <c r="F8" i="4"/>
  <c r="E8" i="4"/>
  <c r="D8" i="4"/>
  <c r="C8" i="4"/>
  <c r="B8" i="4"/>
  <c r="J7" i="4"/>
  <c r="I7" i="4"/>
  <c r="H7" i="4"/>
  <c r="G7" i="4"/>
  <c r="F7" i="4"/>
  <c r="E7" i="4"/>
  <c r="D7" i="4"/>
  <c r="C7" i="4"/>
  <c r="B7" i="4"/>
  <c r="J6" i="4"/>
  <c r="I6" i="4"/>
  <c r="H6" i="4"/>
  <c r="G6" i="4"/>
  <c r="F6" i="4"/>
  <c r="E6" i="4"/>
  <c r="D6" i="4"/>
  <c r="C6" i="4"/>
  <c r="B6" i="4"/>
  <c r="J5" i="4"/>
  <c r="I5" i="4"/>
  <c r="H5" i="4"/>
  <c r="G5" i="4"/>
  <c r="F5" i="4"/>
  <c r="E5" i="4"/>
  <c r="D5" i="4"/>
  <c r="A5" i="4"/>
  <c r="J25" i="3"/>
  <c r="I25" i="3"/>
  <c r="H25" i="3"/>
  <c r="G25" i="3"/>
  <c r="F25" i="3"/>
  <c r="E25" i="3"/>
  <c r="D25" i="3"/>
  <c r="C25" i="3"/>
  <c r="B25" i="3"/>
  <c r="J24" i="3"/>
  <c r="I24" i="3"/>
  <c r="H24" i="3"/>
  <c r="G24" i="3"/>
  <c r="F24" i="3"/>
  <c r="E24" i="3"/>
  <c r="D24" i="3"/>
  <c r="C24" i="3"/>
  <c r="B24" i="3"/>
  <c r="J23" i="3"/>
  <c r="I23" i="3"/>
  <c r="H23" i="3"/>
  <c r="G23" i="3"/>
  <c r="F23" i="3"/>
  <c r="E23" i="3"/>
  <c r="D23" i="3"/>
  <c r="C23" i="3"/>
  <c r="B23" i="3"/>
  <c r="J22" i="3"/>
  <c r="I22" i="3"/>
  <c r="H22" i="3"/>
  <c r="G22" i="3"/>
  <c r="F22" i="3"/>
  <c r="E22" i="3"/>
  <c r="D22" i="3"/>
  <c r="C22" i="3"/>
  <c r="B22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9" i="3"/>
  <c r="I19" i="3"/>
  <c r="H19" i="3"/>
  <c r="G19" i="3"/>
  <c r="F19" i="3"/>
  <c r="E19" i="3"/>
  <c r="D19" i="3"/>
  <c r="C19" i="3"/>
  <c r="B19" i="3"/>
  <c r="J18" i="3"/>
  <c r="I18" i="3"/>
  <c r="H18" i="3"/>
  <c r="G18" i="3"/>
  <c r="F18" i="3"/>
  <c r="E18" i="3"/>
  <c r="D18" i="3"/>
  <c r="C18" i="3"/>
  <c r="B18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5" i="3"/>
  <c r="I15" i="3"/>
  <c r="H15" i="3"/>
  <c r="G15" i="3"/>
  <c r="F15" i="3"/>
  <c r="E15" i="3"/>
  <c r="D15" i="3"/>
  <c r="C15" i="3"/>
  <c r="B15" i="3"/>
  <c r="J14" i="3"/>
  <c r="I14" i="3"/>
  <c r="H14" i="3"/>
  <c r="G14" i="3"/>
  <c r="F14" i="3"/>
  <c r="E14" i="3"/>
  <c r="D14" i="3"/>
  <c r="C14" i="3"/>
  <c r="B14" i="3"/>
  <c r="J13" i="3"/>
  <c r="I13" i="3"/>
  <c r="H13" i="3"/>
  <c r="G13" i="3"/>
  <c r="F13" i="3"/>
  <c r="E13" i="3"/>
  <c r="D13" i="3"/>
  <c r="C13" i="3"/>
  <c r="B13" i="3"/>
  <c r="J12" i="3"/>
  <c r="I12" i="3"/>
  <c r="H12" i="3"/>
  <c r="G12" i="3"/>
  <c r="F12" i="3"/>
  <c r="E12" i="3"/>
  <c r="D12" i="3"/>
  <c r="C12" i="3"/>
  <c r="B12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9" i="3"/>
  <c r="I9" i="3"/>
  <c r="H9" i="3"/>
  <c r="G9" i="3"/>
  <c r="F9" i="3"/>
  <c r="E9" i="3"/>
  <c r="D9" i="3"/>
  <c r="C9" i="3"/>
  <c r="B9" i="3"/>
  <c r="J8" i="3"/>
  <c r="I8" i="3"/>
  <c r="H8" i="3"/>
  <c r="G8" i="3"/>
  <c r="F8" i="3"/>
  <c r="E8" i="3"/>
  <c r="D8" i="3"/>
  <c r="C8" i="3"/>
  <c r="B8" i="3"/>
  <c r="J7" i="3"/>
  <c r="I7" i="3"/>
  <c r="H7" i="3"/>
  <c r="G7" i="3"/>
  <c r="F7" i="3"/>
  <c r="E7" i="3"/>
  <c r="D7" i="3"/>
  <c r="C7" i="3"/>
  <c r="B7" i="3"/>
  <c r="J6" i="3"/>
  <c r="I6" i="3"/>
  <c r="H6" i="3"/>
  <c r="G6" i="3"/>
  <c r="F6" i="3"/>
  <c r="E6" i="3"/>
  <c r="D6" i="3"/>
  <c r="C6" i="3"/>
  <c r="B6" i="3"/>
  <c r="A5" i="3"/>
  <c r="J75" i="2"/>
  <c r="I75" i="2"/>
  <c r="H75" i="2"/>
  <c r="G75" i="2"/>
  <c r="F75" i="2"/>
  <c r="E75" i="2"/>
  <c r="D75" i="2"/>
  <c r="C75" i="2"/>
  <c r="B75" i="2"/>
  <c r="J74" i="2"/>
  <c r="I74" i="2"/>
  <c r="H74" i="2"/>
  <c r="G74" i="2"/>
  <c r="F74" i="2"/>
  <c r="E74" i="2"/>
  <c r="D74" i="2"/>
  <c r="C74" i="2"/>
  <c r="B74" i="2"/>
  <c r="J73" i="2"/>
  <c r="I73" i="2"/>
  <c r="H73" i="2"/>
  <c r="G73" i="2"/>
  <c r="F73" i="2"/>
  <c r="E73" i="2"/>
  <c r="D73" i="2"/>
  <c r="C73" i="2"/>
  <c r="B73" i="2"/>
  <c r="J72" i="2"/>
  <c r="I72" i="2"/>
  <c r="H72" i="2"/>
  <c r="G72" i="2"/>
  <c r="F72" i="2"/>
  <c r="E72" i="2"/>
  <c r="D72" i="2"/>
  <c r="C72" i="2"/>
  <c r="B72" i="2"/>
  <c r="J71" i="2"/>
  <c r="I71" i="2"/>
  <c r="H71" i="2"/>
  <c r="G71" i="2"/>
  <c r="F71" i="2"/>
  <c r="E71" i="2"/>
  <c r="D71" i="2"/>
  <c r="C71" i="2"/>
  <c r="B71" i="2"/>
  <c r="J70" i="2"/>
  <c r="I70" i="2"/>
  <c r="H70" i="2"/>
  <c r="G70" i="2"/>
  <c r="F70" i="2"/>
  <c r="E70" i="2"/>
  <c r="D70" i="2"/>
  <c r="C70" i="2"/>
  <c r="B70" i="2"/>
  <c r="J69" i="2"/>
  <c r="I69" i="2"/>
  <c r="H69" i="2"/>
  <c r="G69" i="2"/>
  <c r="F69" i="2"/>
  <c r="E69" i="2"/>
  <c r="D69" i="2"/>
  <c r="C69" i="2"/>
  <c r="B69" i="2"/>
  <c r="J68" i="2"/>
  <c r="I68" i="2"/>
  <c r="H68" i="2"/>
  <c r="G68" i="2"/>
  <c r="F68" i="2"/>
  <c r="E68" i="2"/>
  <c r="D68" i="2"/>
  <c r="C68" i="2"/>
  <c r="B68" i="2"/>
  <c r="J67" i="2"/>
  <c r="I67" i="2"/>
  <c r="H67" i="2"/>
  <c r="G67" i="2"/>
  <c r="F67" i="2"/>
  <c r="E67" i="2"/>
  <c r="D67" i="2"/>
  <c r="C67" i="2"/>
  <c r="B67" i="2"/>
  <c r="J66" i="2"/>
  <c r="I66" i="2"/>
  <c r="H66" i="2"/>
  <c r="G66" i="2"/>
  <c r="F66" i="2"/>
  <c r="E66" i="2"/>
  <c r="D66" i="2"/>
  <c r="C66" i="2"/>
  <c r="B66" i="2"/>
  <c r="J65" i="2"/>
  <c r="I65" i="2"/>
  <c r="H65" i="2"/>
  <c r="G65" i="2"/>
  <c r="F65" i="2"/>
  <c r="E65" i="2"/>
  <c r="D65" i="2"/>
  <c r="C65" i="2"/>
  <c r="B65" i="2"/>
  <c r="J64" i="2"/>
  <c r="I64" i="2"/>
  <c r="H64" i="2"/>
  <c r="G64" i="2"/>
  <c r="F64" i="2"/>
  <c r="E64" i="2"/>
  <c r="D64" i="2"/>
  <c r="C64" i="2"/>
  <c r="B64" i="2"/>
  <c r="J63" i="2"/>
  <c r="I63" i="2"/>
  <c r="H63" i="2"/>
  <c r="G63" i="2"/>
  <c r="F63" i="2"/>
  <c r="E63" i="2"/>
  <c r="D63" i="2"/>
  <c r="C63" i="2"/>
  <c r="B63" i="2"/>
  <c r="J62" i="2"/>
  <c r="I62" i="2"/>
  <c r="H62" i="2"/>
  <c r="G62" i="2"/>
  <c r="F62" i="2"/>
  <c r="E62" i="2"/>
  <c r="D62" i="2"/>
  <c r="C62" i="2"/>
  <c r="B62" i="2"/>
  <c r="J61" i="2"/>
  <c r="I61" i="2"/>
  <c r="H61" i="2"/>
  <c r="G61" i="2"/>
  <c r="F61" i="2"/>
  <c r="E61" i="2"/>
  <c r="D61" i="2"/>
  <c r="C61" i="2"/>
  <c r="B61" i="2"/>
  <c r="J60" i="2"/>
  <c r="I60" i="2"/>
  <c r="H60" i="2"/>
  <c r="G60" i="2"/>
  <c r="F60" i="2"/>
  <c r="E60" i="2"/>
  <c r="D60" i="2"/>
  <c r="C60" i="2"/>
  <c r="B60" i="2"/>
  <c r="J59" i="2"/>
  <c r="I59" i="2"/>
  <c r="H59" i="2"/>
  <c r="G59" i="2"/>
  <c r="F59" i="2"/>
  <c r="E59" i="2"/>
  <c r="D59" i="2"/>
  <c r="C59" i="2"/>
  <c r="B59" i="2"/>
  <c r="J58" i="2"/>
  <c r="I58" i="2"/>
  <c r="H58" i="2"/>
  <c r="G58" i="2"/>
  <c r="F58" i="2"/>
  <c r="E58" i="2"/>
  <c r="D58" i="2"/>
  <c r="C58" i="2"/>
  <c r="B58" i="2"/>
  <c r="J57" i="2"/>
  <c r="I57" i="2"/>
  <c r="H57" i="2"/>
  <c r="G57" i="2"/>
  <c r="F57" i="2"/>
  <c r="E57" i="2"/>
  <c r="D57" i="2"/>
  <c r="C57" i="2"/>
  <c r="B57" i="2"/>
  <c r="J56" i="2"/>
  <c r="I56" i="2"/>
  <c r="H56" i="2"/>
  <c r="G56" i="2"/>
  <c r="F56" i="2"/>
  <c r="E56" i="2"/>
  <c r="D56" i="2"/>
  <c r="C56" i="2"/>
  <c r="B56" i="2"/>
  <c r="J55" i="2"/>
  <c r="I55" i="2"/>
  <c r="H55" i="2"/>
  <c r="G55" i="2"/>
  <c r="F55" i="2"/>
  <c r="E55" i="2"/>
  <c r="D55" i="2"/>
  <c r="C55" i="2"/>
  <c r="B55" i="2"/>
  <c r="J54" i="2"/>
  <c r="I54" i="2"/>
  <c r="H54" i="2"/>
  <c r="G54" i="2"/>
  <c r="F54" i="2"/>
  <c r="E54" i="2"/>
  <c r="D54" i="2"/>
  <c r="C54" i="2"/>
  <c r="B54" i="2"/>
  <c r="J53" i="2"/>
  <c r="I53" i="2"/>
  <c r="H53" i="2"/>
  <c r="G53" i="2"/>
  <c r="F53" i="2"/>
  <c r="E53" i="2"/>
  <c r="D53" i="2"/>
  <c r="C53" i="2"/>
  <c r="B53" i="2"/>
  <c r="J52" i="2"/>
  <c r="I52" i="2"/>
  <c r="H52" i="2"/>
  <c r="G52" i="2"/>
  <c r="F52" i="2"/>
  <c r="E52" i="2"/>
  <c r="D52" i="2"/>
  <c r="C52" i="2"/>
  <c r="B52" i="2"/>
  <c r="J51" i="2"/>
  <c r="I51" i="2"/>
  <c r="H51" i="2"/>
  <c r="G51" i="2"/>
  <c r="F51" i="2"/>
  <c r="E51" i="2"/>
  <c r="D51" i="2"/>
  <c r="C51" i="2"/>
  <c r="B51" i="2"/>
  <c r="J50" i="2"/>
  <c r="I50" i="2"/>
  <c r="H50" i="2"/>
  <c r="G50" i="2"/>
  <c r="F50" i="2"/>
  <c r="E50" i="2"/>
  <c r="D50" i="2"/>
  <c r="C50" i="2"/>
  <c r="B50" i="2"/>
  <c r="J49" i="2"/>
  <c r="I49" i="2"/>
  <c r="H49" i="2"/>
  <c r="G49" i="2"/>
  <c r="F49" i="2"/>
  <c r="E49" i="2"/>
  <c r="D49" i="2"/>
  <c r="C49" i="2"/>
  <c r="B49" i="2"/>
  <c r="J48" i="2"/>
  <c r="I48" i="2"/>
  <c r="H48" i="2"/>
  <c r="G48" i="2"/>
  <c r="F48" i="2"/>
  <c r="E48" i="2"/>
  <c r="D48" i="2"/>
  <c r="C48" i="2"/>
  <c r="B48" i="2"/>
  <c r="J47" i="2"/>
  <c r="I47" i="2"/>
  <c r="H47" i="2"/>
  <c r="G47" i="2"/>
  <c r="F47" i="2"/>
  <c r="E47" i="2"/>
  <c r="D47" i="2"/>
  <c r="C47" i="2"/>
  <c r="B47" i="2"/>
  <c r="J46" i="2"/>
  <c r="I46" i="2"/>
  <c r="H46" i="2"/>
  <c r="G46" i="2"/>
  <c r="F46" i="2"/>
  <c r="E46" i="2"/>
  <c r="D46" i="2"/>
  <c r="C46" i="2"/>
  <c r="B46" i="2"/>
  <c r="J45" i="2"/>
  <c r="I45" i="2"/>
  <c r="H45" i="2"/>
  <c r="G45" i="2"/>
  <c r="F45" i="2"/>
  <c r="E45" i="2"/>
  <c r="D45" i="2"/>
  <c r="C45" i="2"/>
  <c r="B45" i="2"/>
  <c r="J44" i="2"/>
  <c r="I44" i="2"/>
  <c r="H44" i="2"/>
  <c r="G44" i="2"/>
  <c r="F44" i="2"/>
  <c r="E44" i="2"/>
  <c r="D44" i="2"/>
  <c r="C44" i="2"/>
  <c r="B44" i="2"/>
  <c r="J43" i="2"/>
  <c r="I43" i="2"/>
  <c r="H43" i="2"/>
  <c r="G43" i="2"/>
  <c r="F43" i="2"/>
  <c r="E43" i="2"/>
  <c r="D43" i="2"/>
  <c r="C43" i="2"/>
  <c r="B43" i="2"/>
  <c r="J42" i="2"/>
  <c r="I42" i="2"/>
  <c r="H42" i="2"/>
  <c r="G42" i="2"/>
  <c r="F42" i="2"/>
  <c r="E42" i="2"/>
  <c r="D42" i="2"/>
  <c r="C42" i="2"/>
  <c r="B42" i="2"/>
  <c r="J41" i="2"/>
  <c r="I41" i="2"/>
  <c r="H41" i="2"/>
  <c r="G41" i="2"/>
  <c r="F41" i="2"/>
  <c r="E41" i="2"/>
  <c r="D41" i="2"/>
  <c r="C41" i="2"/>
  <c r="B41" i="2"/>
  <c r="J40" i="2"/>
  <c r="I40" i="2"/>
  <c r="H40" i="2"/>
  <c r="G40" i="2"/>
  <c r="F40" i="2"/>
  <c r="E40" i="2"/>
  <c r="D40" i="2"/>
  <c r="C40" i="2"/>
  <c r="B40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7" i="2"/>
  <c r="I37" i="2"/>
  <c r="H37" i="2"/>
  <c r="G37" i="2"/>
  <c r="F37" i="2"/>
  <c r="E37" i="2"/>
  <c r="D37" i="2"/>
  <c r="C37" i="2"/>
  <c r="B37" i="2"/>
  <c r="J36" i="2"/>
  <c r="I36" i="2"/>
  <c r="H36" i="2"/>
  <c r="G36" i="2"/>
  <c r="F36" i="2"/>
  <c r="E36" i="2"/>
  <c r="D36" i="2"/>
  <c r="C36" i="2"/>
  <c r="B36" i="2"/>
  <c r="J35" i="2"/>
  <c r="I35" i="2"/>
  <c r="H35" i="2"/>
  <c r="G35" i="2"/>
  <c r="F35" i="2"/>
  <c r="E35" i="2"/>
  <c r="D35" i="2"/>
  <c r="C35" i="2"/>
  <c r="B35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  <c r="J31" i="2"/>
  <c r="I31" i="2"/>
  <c r="H31" i="2"/>
  <c r="G31" i="2"/>
  <c r="F31" i="2"/>
  <c r="E31" i="2"/>
  <c r="D31" i="2"/>
  <c r="C31" i="2"/>
  <c r="B31" i="2"/>
  <c r="J30" i="2"/>
  <c r="I30" i="2"/>
  <c r="H30" i="2"/>
  <c r="G30" i="2"/>
  <c r="F30" i="2"/>
  <c r="E30" i="2"/>
  <c r="D30" i="2"/>
  <c r="C30" i="2"/>
  <c r="B30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7" i="2"/>
  <c r="I27" i="2"/>
  <c r="H27" i="2"/>
  <c r="G27" i="2"/>
  <c r="F27" i="2"/>
  <c r="E27" i="2"/>
  <c r="D27" i="2"/>
  <c r="C27" i="2"/>
  <c r="B27" i="2"/>
  <c r="J26" i="2"/>
  <c r="I26" i="2"/>
  <c r="H26" i="2"/>
  <c r="G26" i="2"/>
  <c r="F26" i="2"/>
  <c r="E26" i="2"/>
  <c r="D26" i="2"/>
  <c r="C26" i="2"/>
  <c r="B26" i="2"/>
  <c r="J25" i="2"/>
  <c r="I25" i="2"/>
  <c r="H25" i="2"/>
  <c r="G25" i="2"/>
  <c r="F25" i="2"/>
  <c r="E25" i="2"/>
  <c r="D25" i="2"/>
  <c r="C25" i="2"/>
  <c r="B25" i="2"/>
  <c r="J24" i="2"/>
  <c r="I24" i="2"/>
  <c r="H24" i="2"/>
  <c r="G24" i="2"/>
  <c r="F24" i="2"/>
  <c r="E24" i="2"/>
  <c r="D24" i="2"/>
  <c r="C24" i="2"/>
  <c r="B24" i="2"/>
  <c r="J23" i="2"/>
  <c r="I23" i="2"/>
  <c r="H23" i="2"/>
  <c r="G23" i="2"/>
  <c r="F23" i="2"/>
  <c r="E23" i="2"/>
  <c r="D23" i="2"/>
  <c r="C23" i="2"/>
  <c r="B23" i="2"/>
  <c r="J22" i="2"/>
  <c r="I22" i="2"/>
  <c r="H22" i="2"/>
  <c r="G22" i="2"/>
  <c r="F22" i="2"/>
  <c r="E22" i="2"/>
  <c r="D22" i="2"/>
  <c r="C22" i="2"/>
  <c r="B22" i="2"/>
  <c r="J21" i="2"/>
  <c r="I21" i="2"/>
  <c r="H21" i="2"/>
  <c r="G21" i="2"/>
  <c r="F21" i="2"/>
  <c r="E21" i="2"/>
  <c r="D21" i="2"/>
  <c r="C21" i="2"/>
  <c r="B21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8" i="2"/>
  <c r="I18" i="2"/>
  <c r="H18" i="2"/>
  <c r="G18" i="2"/>
  <c r="F18" i="2"/>
  <c r="E18" i="2"/>
  <c r="D18" i="2"/>
  <c r="C18" i="2"/>
  <c r="B18" i="2"/>
  <c r="J17" i="2"/>
  <c r="I17" i="2"/>
  <c r="H17" i="2"/>
  <c r="G17" i="2"/>
  <c r="F17" i="2"/>
  <c r="E17" i="2"/>
  <c r="D17" i="2"/>
  <c r="C17" i="2"/>
  <c r="B17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4" i="2"/>
  <c r="I14" i="2"/>
  <c r="H14" i="2"/>
  <c r="G14" i="2"/>
  <c r="F14" i="2"/>
  <c r="E14" i="2"/>
  <c r="D14" i="2"/>
  <c r="C14" i="2"/>
  <c r="B14" i="2"/>
  <c r="J13" i="2"/>
  <c r="I13" i="2"/>
  <c r="H13" i="2"/>
  <c r="G13" i="2"/>
  <c r="F13" i="2"/>
  <c r="E13" i="2"/>
  <c r="D13" i="2"/>
  <c r="C13" i="2"/>
  <c r="B13" i="2"/>
  <c r="J12" i="2"/>
  <c r="I12" i="2"/>
  <c r="H12" i="2"/>
  <c r="G12" i="2"/>
  <c r="F12" i="2"/>
  <c r="E12" i="2"/>
  <c r="D12" i="2"/>
  <c r="C12" i="2"/>
  <c r="B12" i="2"/>
  <c r="J11" i="2"/>
  <c r="I11" i="2"/>
  <c r="H11" i="2"/>
  <c r="G11" i="2"/>
  <c r="F11" i="2"/>
  <c r="E11" i="2"/>
  <c r="D11" i="2"/>
  <c r="C11" i="2"/>
  <c r="B11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8" i="2"/>
  <c r="I8" i="2"/>
  <c r="H8" i="2"/>
  <c r="G8" i="2"/>
  <c r="F8" i="2"/>
  <c r="E8" i="2"/>
  <c r="D8" i="2"/>
  <c r="C8" i="2"/>
  <c r="B8" i="2"/>
  <c r="J7" i="2"/>
  <c r="I7" i="2"/>
  <c r="H7" i="2"/>
  <c r="G7" i="2"/>
  <c r="F7" i="2"/>
  <c r="E7" i="2"/>
  <c r="D7" i="2"/>
  <c r="C7" i="2"/>
  <c r="B7" i="2"/>
  <c r="J6" i="2"/>
  <c r="I6" i="2"/>
  <c r="H6" i="2"/>
  <c r="G6" i="2"/>
  <c r="F6" i="2"/>
  <c r="E6" i="2"/>
  <c r="D6" i="2"/>
  <c r="C6" i="2"/>
  <c r="B6" i="2"/>
  <c r="A1" i="1"/>
  <c r="A2" i="1"/>
  <c r="A3" i="1"/>
  <c r="A4" i="1"/>
  <c r="B4" i="1"/>
  <c r="C4" i="1"/>
  <c r="J4" i="1"/>
  <c r="A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18" i="1"/>
  <c r="C18" i="1"/>
  <c r="D18" i="1"/>
  <c r="E18" i="1"/>
  <c r="F18" i="1"/>
  <c r="G18" i="1"/>
  <c r="H18" i="1"/>
  <c r="I18" i="1"/>
  <c r="J18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B21" i="1"/>
  <c r="C21" i="1"/>
  <c r="D21" i="1"/>
  <c r="E21" i="1"/>
  <c r="F21" i="1"/>
  <c r="G21" i="1"/>
  <c r="H21" i="1"/>
  <c r="I21" i="1"/>
  <c r="J21" i="1"/>
  <c r="B22" i="1"/>
  <c r="C22" i="1"/>
  <c r="D22" i="1"/>
  <c r="E22" i="1"/>
  <c r="F22" i="1"/>
  <c r="G22" i="1"/>
  <c r="H22" i="1"/>
  <c r="I22" i="1"/>
  <c r="J22" i="1"/>
  <c r="B23" i="1"/>
  <c r="C23" i="1"/>
  <c r="D23" i="1"/>
  <c r="E23" i="1"/>
  <c r="F23" i="1"/>
  <c r="G23" i="1"/>
  <c r="H23" i="1"/>
  <c r="I23" i="1"/>
  <c r="J23" i="1"/>
  <c r="B24" i="1"/>
  <c r="C24" i="1"/>
  <c r="D24" i="1"/>
  <c r="E24" i="1"/>
  <c r="F24" i="1"/>
  <c r="G24" i="1"/>
  <c r="H24" i="1"/>
  <c r="I24" i="1"/>
  <c r="J24" i="1"/>
  <c r="B25" i="1"/>
  <c r="C25" i="1"/>
  <c r="D25" i="1"/>
  <c r="E25" i="1"/>
  <c r="F25" i="1"/>
  <c r="G25" i="1"/>
  <c r="H25" i="1"/>
  <c r="I25" i="1"/>
  <c r="J25" i="1"/>
  <c r="B26" i="1"/>
  <c r="C26" i="1"/>
  <c r="D26" i="1"/>
  <c r="E26" i="1"/>
  <c r="F26" i="1"/>
  <c r="G26" i="1"/>
  <c r="H26" i="1"/>
  <c r="I26" i="1"/>
  <c r="J26" i="1"/>
  <c r="B27" i="1"/>
  <c r="C27" i="1"/>
  <c r="D27" i="1"/>
  <c r="E27" i="1"/>
  <c r="F27" i="1"/>
  <c r="G27" i="1"/>
  <c r="H27" i="1"/>
  <c r="I27" i="1"/>
  <c r="J27" i="1"/>
  <c r="B28" i="1"/>
  <c r="C28" i="1"/>
  <c r="D28" i="1"/>
  <c r="E28" i="1"/>
  <c r="F28" i="1"/>
  <c r="G28" i="1"/>
  <c r="H28" i="1"/>
  <c r="I28" i="1"/>
  <c r="J28" i="1"/>
  <c r="B29" i="1"/>
  <c r="C29" i="1"/>
  <c r="D29" i="1"/>
  <c r="E29" i="1"/>
  <c r="F29" i="1"/>
  <c r="G29" i="1"/>
  <c r="H29" i="1"/>
  <c r="I29" i="1"/>
  <c r="J29" i="1"/>
  <c r="B30" i="1"/>
  <c r="C30" i="1"/>
  <c r="D30" i="1"/>
  <c r="E30" i="1"/>
  <c r="F30" i="1"/>
  <c r="G30" i="1"/>
  <c r="H30" i="1"/>
  <c r="I30" i="1"/>
  <c r="J30" i="1"/>
  <c r="B31" i="1"/>
  <c r="C31" i="1"/>
  <c r="D31" i="1"/>
  <c r="E31" i="1"/>
  <c r="F31" i="1"/>
  <c r="G31" i="1"/>
  <c r="H31" i="1"/>
  <c r="I31" i="1"/>
  <c r="J31" i="1"/>
  <c r="B32" i="1"/>
  <c r="C32" i="1"/>
  <c r="D32" i="1"/>
  <c r="E32" i="1"/>
  <c r="F32" i="1"/>
  <c r="G32" i="1"/>
  <c r="H32" i="1"/>
  <c r="I32" i="1"/>
  <c r="J32" i="1"/>
  <c r="B33" i="1"/>
  <c r="C33" i="1"/>
  <c r="D33" i="1"/>
  <c r="E33" i="1"/>
  <c r="F33" i="1"/>
  <c r="G33" i="1"/>
  <c r="H33" i="1"/>
  <c r="I33" i="1"/>
  <c r="J33" i="1"/>
  <c r="B34" i="1"/>
  <c r="C34" i="1"/>
  <c r="D34" i="1"/>
  <c r="E34" i="1"/>
  <c r="F34" i="1"/>
  <c r="G34" i="1"/>
  <c r="H34" i="1"/>
  <c r="I34" i="1"/>
  <c r="J34" i="1"/>
  <c r="B35" i="1"/>
  <c r="C35" i="1"/>
  <c r="D35" i="1"/>
  <c r="E35" i="1"/>
  <c r="F35" i="1"/>
  <c r="G35" i="1"/>
  <c r="H35" i="1"/>
  <c r="I35" i="1"/>
  <c r="J35" i="1"/>
  <c r="B36" i="1"/>
  <c r="C36" i="1"/>
  <c r="D36" i="1"/>
  <c r="E36" i="1"/>
  <c r="F36" i="1"/>
  <c r="G36" i="1"/>
  <c r="H36" i="1"/>
  <c r="I36" i="1"/>
  <c r="J36" i="1"/>
  <c r="B37" i="1"/>
  <c r="C37" i="1"/>
  <c r="D37" i="1"/>
  <c r="E37" i="1"/>
  <c r="F37" i="1"/>
  <c r="G37" i="1"/>
  <c r="H37" i="1"/>
  <c r="I37" i="1"/>
  <c r="J37" i="1"/>
  <c r="B38" i="1"/>
  <c r="C38" i="1"/>
  <c r="D38" i="1"/>
  <c r="E38" i="1"/>
  <c r="F38" i="1"/>
  <c r="G38" i="1"/>
  <c r="H38" i="1"/>
  <c r="I38" i="1"/>
  <c r="J38" i="1"/>
  <c r="B39" i="1"/>
  <c r="C39" i="1"/>
  <c r="D39" i="1"/>
  <c r="E39" i="1"/>
  <c r="F39" i="1"/>
  <c r="G39" i="1"/>
  <c r="H39" i="1"/>
  <c r="I39" i="1"/>
  <c r="J39" i="1"/>
  <c r="B40" i="1"/>
  <c r="C40" i="1"/>
  <c r="D40" i="1"/>
  <c r="E40" i="1"/>
  <c r="F40" i="1"/>
  <c r="G40" i="1"/>
  <c r="H40" i="1"/>
  <c r="I40" i="1"/>
  <c r="J40" i="1"/>
  <c r="B41" i="1"/>
  <c r="C41" i="1"/>
  <c r="D41" i="1"/>
  <c r="E41" i="1"/>
  <c r="F41" i="1"/>
  <c r="G41" i="1"/>
  <c r="H41" i="1"/>
  <c r="I41" i="1"/>
  <c r="J41" i="1"/>
  <c r="B42" i="1"/>
  <c r="C42" i="1"/>
  <c r="D42" i="1"/>
  <c r="E42" i="1"/>
  <c r="F42" i="1"/>
  <c r="G42" i="1"/>
  <c r="H42" i="1"/>
  <c r="I42" i="1"/>
  <c r="J42" i="1"/>
  <c r="B43" i="1"/>
  <c r="C43" i="1"/>
  <c r="D43" i="1"/>
  <c r="E43" i="1"/>
  <c r="F43" i="1"/>
  <c r="G43" i="1"/>
  <c r="H43" i="1"/>
  <c r="I43" i="1"/>
  <c r="J43" i="1"/>
  <c r="B44" i="1"/>
  <c r="C44" i="1"/>
  <c r="D44" i="1"/>
  <c r="E44" i="1"/>
  <c r="F44" i="1"/>
  <c r="G44" i="1"/>
  <c r="H44" i="1"/>
  <c r="I44" i="1"/>
  <c r="J44" i="1"/>
  <c r="B45" i="1"/>
  <c r="C45" i="1"/>
  <c r="D45" i="1"/>
  <c r="E45" i="1"/>
  <c r="F45" i="1"/>
  <c r="G45" i="1"/>
  <c r="H45" i="1"/>
  <c r="I45" i="1"/>
  <c r="J45" i="1"/>
  <c r="B46" i="1"/>
  <c r="C46" i="1"/>
  <c r="D46" i="1"/>
  <c r="E46" i="1"/>
  <c r="F46" i="1"/>
  <c r="G46" i="1"/>
  <c r="H46" i="1"/>
  <c r="I46" i="1"/>
  <c r="J46" i="1"/>
  <c r="B47" i="1"/>
  <c r="C47" i="1"/>
  <c r="D47" i="1"/>
  <c r="E47" i="1"/>
  <c r="F47" i="1"/>
  <c r="G47" i="1"/>
  <c r="H47" i="1"/>
  <c r="I47" i="1"/>
  <c r="J47" i="1"/>
  <c r="B48" i="1"/>
  <c r="C48" i="1"/>
  <c r="D48" i="1"/>
  <c r="E48" i="1"/>
  <c r="F48" i="1"/>
  <c r="G48" i="1"/>
  <c r="H48" i="1"/>
  <c r="I48" i="1"/>
  <c r="J48" i="1"/>
  <c r="B49" i="1"/>
  <c r="C49" i="1"/>
  <c r="D49" i="1"/>
  <c r="E49" i="1"/>
  <c r="F49" i="1"/>
  <c r="G49" i="1"/>
  <c r="H49" i="1"/>
  <c r="I49" i="1"/>
  <c r="J49" i="1"/>
  <c r="B50" i="1"/>
  <c r="C50" i="1"/>
  <c r="D50" i="1"/>
  <c r="E50" i="1"/>
  <c r="F50" i="1"/>
  <c r="G50" i="1"/>
  <c r="H50" i="1"/>
  <c r="I50" i="1"/>
  <c r="J50" i="1"/>
  <c r="B51" i="1"/>
  <c r="C51" i="1"/>
  <c r="D51" i="1"/>
  <c r="E51" i="1"/>
  <c r="F51" i="1"/>
  <c r="G51" i="1"/>
  <c r="H51" i="1"/>
  <c r="I51" i="1"/>
  <c r="J51" i="1"/>
  <c r="B52" i="1"/>
  <c r="C52" i="1"/>
  <c r="D52" i="1"/>
  <c r="E52" i="1"/>
  <c r="F52" i="1"/>
  <c r="G52" i="1"/>
  <c r="H52" i="1"/>
  <c r="I52" i="1"/>
  <c r="J52" i="1"/>
  <c r="B53" i="1"/>
  <c r="C53" i="1"/>
  <c r="D53" i="1"/>
  <c r="E53" i="1"/>
  <c r="F53" i="1"/>
  <c r="G53" i="1"/>
  <c r="H53" i="1"/>
  <c r="I53" i="1"/>
  <c r="J53" i="1"/>
  <c r="B54" i="1"/>
  <c r="C54" i="1"/>
  <c r="D54" i="1"/>
  <c r="E54" i="1"/>
  <c r="F54" i="1"/>
  <c r="G54" i="1"/>
  <c r="H54" i="1"/>
  <c r="I54" i="1"/>
  <c r="J54" i="1"/>
  <c r="B55" i="1"/>
  <c r="C55" i="1"/>
  <c r="D55" i="1"/>
  <c r="E55" i="1"/>
  <c r="F55" i="1"/>
  <c r="G55" i="1"/>
  <c r="H55" i="1"/>
  <c r="I55" i="1"/>
  <c r="J55" i="1"/>
  <c r="B56" i="1"/>
  <c r="C56" i="1"/>
  <c r="D56" i="1"/>
  <c r="E56" i="1"/>
  <c r="F56" i="1"/>
  <c r="G56" i="1"/>
  <c r="H56" i="1"/>
  <c r="I56" i="1"/>
  <c r="J56" i="1"/>
  <c r="B57" i="1"/>
  <c r="C57" i="1"/>
  <c r="D57" i="1"/>
  <c r="E57" i="1"/>
  <c r="F57" i="1"/>
  <c r="G57" i="1"/>
  <c r="H57" i="1"/>
  <c r="I57" i="1"/>
  <c r="J57" i="1"/>
  <c r="B58" i="1"/>
  <c r="C58" i="1"/>
  <c r="D58" i="1"/>
  <c r="E58" i="1"/>
  <c r="F58" i="1"/>
  <c r="G58" i="1"/>
  <c r="H58" i="1"/>
  <c r="I58" i="1"/>
  <c r="J58" i="1"/>
  <c r="B59" i="1"/>
  <c r="C59" i="1"/>
  <c r="D59" i="1"/>
  <c r="E59" i="1"/>
  <c r="F59" i="1"/>
  <c r="G59" i="1"/>
  <c r="H59" i="1"/>
  <c r="I59" i="1"/>
  <c r="J59" i="1"/>
  <c r="B60" i="1"/>
  <c r="C60" i="1"/>
  <c r="D60" i="1"/>
  <c r="E60" i="1"/>
  <c r="F60" i="1"/>
  <c r="G60" i="1"/>
  <c r="H60" i="1"/>
  <c r="I60" i="1"/>
  <c r="J60" i="1"/>
  <c r="B61" i="1"/>
  <c r="C61" i="1"/>
  <c r="D61" i="1"/>
  <c r="E61" i="1"/>
  <c r="F61" i="1"/>
  <c r="G61" i="1"/>
  <c r="H61" i="1"/>
  <c r="I61" i="1"/>
  <c r="J61" i="1"/>
  <c r="B62" i="1"/>
  <c r="C62" i="1"/>
  <c r="D62" i="1"/>
  <c r="E62" i="1"/>
  <c r="F62" i="1"/>
  <c r="G62" i="1"/>
  <c r="H62" i="1"/>
  <c r="I62" i="1"/>
  <c r="J62" i="1"/>
  <c r="B63" i="1"/>
  <c r="C63" i="1"/>
  <c r="D63" i="1"/>
  <c r="E63" i="1"/>
  <c r="F63" i="1"/>
  <c r="G63" i="1"/>
  <c r="H63" i="1"/>
  <c r="I63" i="1"/>
  <c r="J63" i="1"/>
  <c r="B64" i="1"/>
  <c r="C64" i="1"/>
  <c r="D64" i="1"/>
  <c r="E64" i="1"/>
  <c r="F64" i="1"/>
  <c r="G64" i="1"/>
  <c r="H64" i="1"/>
  <c r="I64" i="1"/>
  <c r="J64" i="1"/>
  <c r="B65" i="1"/>
  <c r="C65" i="1"/>
  <c r="D65" i="1"/>
  <c r="E65" i="1"/>
  <c r="F65" i="1"/>
  <c r="G65" i="1"/>
  <c r="H65" i="1"/>
  <c r="I65" i="1"/>
  <c r="J65" i="1"/>
  <c r="B66" i="1"/>
  <c r="C66" i="1"/>
  <c r="D66" i="1"/>
  <c r="E66" i="1"/>
  <c r="F66" i="1"/>
  <c r="G66" i="1"/>
  <c r="H66" i="1"/>
  <c r="I66" i="1"/>
  <c r="J66" i="1"/>
  <c r="B67" i="1"/>
  <c r="C67" i="1"/>
  <c r="D67" i="1"/>
  <c r="E67" i="1"/>
  <c r="F67" i="1"/>
  <c r="G67" i="1"/>
  <c r="H67" i="1"/>
  <c r="I67" i="1"/>
  <c r="J67" i="1"/>
  <c r="B68" i="1"/>
  <c r="C68" i="1"/>
  <c r="D68" i="1"/>
  <c r="E68" i="1"/>
  <c r="F68" i="1"/>
  <c r="G68" i="1"/>
  <c r="H68" i="1"/>
  <c r="I68" i="1"/>
  <c r="J68" i="1"/>
  <c r="B69" i="1"/>
  <c r="C69" i="1"/>
  <c r="D69" i="1"/>
  <c r="E69" i="1"/>
  <c r="F69" i="1"/>
  <c r="G69" i="1"/>
  <c r="H69" i="1"/>
  <c r="I69" i="1"/>
  <c r="J69" i="1"/>
</calcChain>
</file>

<file path=xl/sharedStrings.xml><?xml version="1.0" encoding="utf-8"?>
<sst xmlns="http://schemas.openxmlformats.org/spreadsheetml/2006/main" count="9" uniqueCount="4">
  <si>
    <t>R5</t>
  </si>
  <si>
    <t>R4</t>
  </si>
  <si>
    <t>Para</t>
  </si>
  <si>
    <t>Day 1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</si>
</sst>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A2" sqref="A2"/>
    </sheetView>
  </sheetViews>
  <sheetFormatPr defaultRowHeight="15" x14ac:dyDescent="0.25"/>
  <cols>
    <col min="1" max="1" width="37.42578125" bestFit="1" customWidth="1"/>
    <col min="2" max="2" width="33.28515625" bestFit="1" customWidth="1"/>
    <col min="3" max="3" width="20.5703125" bestFit="1" customWidth="1"/>
    <col min="4" max="4" width="5.5703125" style="1" bestFit="1" customWidth="1"/>
    <col min="5" max="10" width="6" style="1" bestFit="1" customWidth="1"/>
  </cols>
  <sheetData>
    <row r="1" spans="1:10" x14ac:dyDescent="0.25">
      <c r="A1" t="str">
        <f>"2023 USAS Winter Air Gun"</f>
        <v>2023 USAS Winter Air Gun</v>
      </c>
    </row>
    <row r="2" spans="1:10" x14ac:dyDescent="0.25">
      <c r="A2" t="str">
        <f>"Overall Results"</f>
        <v>Overall Results</v>
      </c>
    </row>
    <row r="3" spans="1:10" x14ac:dyDescent="0.25">
      <c r="A3" t="str">
        <f>""</f>
        <v/>
      </c>
    </row>
    <row r="4" spans="1:10" x14ac:dyDescent="0.25">
      <c r="A4" t="str">
        <f>"Place"</f>
        <v>Place</v>
      </c>
      <c r="B4" t="str">
        <f>"Competitor (Comp Num)"</f>
        <v>Competitor (Comp Num)</v>
      </c>
      <c r="C4" t="str">
        <f>"Hometown"</f>
        <v>Hometown</v>
      </c>
      <c r="D4" s="1">
        <v>1</v>
      </c>
      <c r="E4" s="1">
        <v>2</v>
      </c>
      <c r="F4" s="1">
        <v>3</v>
      </c>
      <c r="G4" s="1">
        <v>4</v>
      </c>
      <c r="H4" s="1">
        <v>5</v>
      </c>
      <c r="I4" s="1">
        <v>6</v>
      </c>
      <c r="J4" s="1" t="str">
        <f>"Total"</f>
        <v>Total</v>
      </c>
    </row>
    <row r="5" spans="1:10" x14ac:dyDescent="0.25">
      <c r="A5" t="str">
        <f>"Men's - 10m Air Rifle"</f>
        <v>Men's - 10m Air Rifle</v>
      </c>
    </row>
    <row r="6" spans="1:10" x14ac:dyDescent="0.25">
      <c r="A6">
        <v>1</v>
      </c>
      <c r="B6" t="str">
        <f>"Perkowski, Gavin (151522)"</f>
        <v>Perkowski, Gavin (151522)</v>
      </c>
      <c r="C6" t="str">
        <f>"Bolivar, OH"</f>
        <v>Bolivar, OH</v>
      </c>
      <c r="D6" s="1" t="str">
        <f>"105.4"</f>
        <v>105.4</v>
      </c>
      <c r="E6" s="1" t="str">
        <f>"105.4"</f>
        <v>105.4</v>
      </c>
      <c r="F6" s="1" t="str">
        <f>"105.4"</f>
        <v>105.4</v>
      </c>
      <c r="G6" s="1" t="str">
        <f>"104.6"</f>
        <v>104.6</v>
      </c>
      <c r="H6" s="1" t="str">
        <f>"104.9"</f>
        <v>104.9</v>
      </c>
      <c r="I6" s="1" t="str">
        <f>"103.7"</f>
        <v>103.7</v>
      </c>
      <c r="J6" s="1" t="str">
        <f>"629.4"</f>
        <v>629.4</v>
      </c>
    </row>
    <row r="7" spans="1:10" x14ac:dyDescent="0.25">
      <c r="A7">
        <v>2</v>
      </c>
      <c r="B7" t="str">
        <f>"Patterson, Scott (278520)"</f>
        <v>Patterson, Scott (278520)</v>
      </c>
      <c r="C7" t="str">
        <f>"Fairfax Station, VA"</f>
        <v>Fairfax Station, VA</v>
      </c>
      <c r="D7" s="1" t="str">
        <f>"103.1"</f>
        <v>103.1</v>
      </c>
      <c r="E7" s="1" t="str">
        <f>"104.2"</f>
        <v>104.2</v>
      </c>
      <c r="F7" s="1" t="str">
        <f>"103.9"</f>
        <v>103.9</v>
      </c>
      <c r="G7" s="1" t="str">
        <f>"105.0"</f>
        <v>105.0</v>
      </c>
      <c r="H7" s="1" t="str">
        <f>"104.0"</f>
        <v>104.0</v>
      </c>
      <c r="I7" s="1" t="str">
        <f>"102.8"</f>
        <v>102.8</v>
      </c>
      <c r="J7" s="1" t="str">
        <f>"623.0"</f>
        <v>623.0</v>
      </c>
    </row>
    <row r="8" spans="1:10" x14ac:dyDescent="0.25">
      <c r="A8">
        <v>3</v>
      </c>
      <c r="B8" t="str">
        <f>"Ogoreuc, Jack (345230)"</f>
        <v>Ogoreuc, Jack (345230)</v>
      </c>
      <c r="C8" t="str">
        <f>"Grove City, PA"</f>
        <v>Grove City, PA</v>
      </c>
      <c r="D8" s="1" t="str">
        <f>"102.5"</f>
        <v>102.5</v>
      </c>
      <c r="E8" s="1" t="str">
        <f>"105.3"</f>
        <v>105.3</v>
      </c>
      <c r="F8" s="1" t="str">
        <f>"103.3"</f>
        <v>103.3</v>
      </c>
      <c r="G8" s="1" t="str">
        <f>"103.2"</f>
        <v>103.2</v>
      </c>
      <c r="H8" s="1" t="str">
        <f>"104.0"</f>
        <v>104.0</v>
      </c>
      <c r="I8" s="1" t="str">
        <f>"104.6"</f>
        <v>104.6</v>
      </c>
      <c r="J8" s="1" t="str">
        <f>"622.9"</f>
        <v>622.9</v>
      </c>
    </row>
    <row r="9" spans="1:10" x14ac:dyDescent="0.25">
      <c r="A9">
        <v>4</v>
      </c>
      <c r="B9" t="str">
        <f>"Duross, Andrew (254474)"</f>
        <v>Duross, Andrew (254474)</v>
      </c>
      <c r="C9" t="str">
        <f>"Marlborough, MA"</f>
        <v>Marlborough, MA</v>
      </c>
      <c r="D9" s="1" t="str">
        <f>"100.0"</f>
        <v>100.0</v>
      </c>
      <c r="E9" s="1" t="str">
        <f>"103.5"</f>
        <v>103.5</v>
      </c>
      <c r="F9" s="1" t="str">
        <f>"105.3"</f>
        <v>105.3</v>
      </c>
      <c r="G9" s="1" t="str">
        <f>"105.2"</f>
        <v>105.2</v>
      </c>
      <c r="H9" s="1" t="str">
        <f>"104.1"</f>
        <v>104.1</v>
      </c>
      <c r="I9" s="1" t="str">
        <f>"103.8"</f>
        <v>103.8</v>
      </c>
      <c r="J9" s="1" t="str">
        <f>"621.9"</f>
        <v>621.9</v>
      </c>
    </row>
    <row r="10" spans="1:10" x14ac:dyDescent="0.25">
      <c r="A10">
        <v>5</v>
      </c>
      <c r="B10" t="str">
        <f>"Adkins, Samuel (376725)"</f>
        <v>Adkins, Samuel (376725)</v>
      </c>
      <c r="C10" t="str">
        <f>"Hummelstown, PA"</f>
        <v>Hummelstown, PA</v>
      </c>
      <c r="D10" s="1" t="str">
        <f>"103.4"</f>
        <v>103.4</v>
      </c>
      <c r="E10" s="1" t="str">
        <f>"104.4"</f>
        <v>104.4</v>
      </c>
      <c r="F10" s="1" t="str">
        <f>"104.2"</f>
        <v>104.2</v>
      </c>
      <c r="G10" s="1" t="str">
        <f>"103.4"</f>
        <v>103.4</v>
      </c>
      <c r="H10" s="1" t="str">
        <f>"101.9"</f>
        <v>101.9</v>
      </c>
      <c r="I10" s="1" t="str">
        <f>"102.9"</f>
        <v>102.9</v>
      </c>
      <c r="J10" s="1" t="str">
        <f>"620.2"</f>
        <v>620.2</v>
      </c>
    </row>
    <row r="11" spans="1:10" x14ac:dyDescent="0.25">
      <c r="A11">
        <v>6</v>
      </c>
      <c r="B11" t="str">
        <f>"Robinson, Aleandra (400429)"</f>
        <v>Robinson, Aleandra (400429)</v>
      </c>
      <c r="C11" t="str">
        <f>"Aguada, PR"</f>
        <v>Aguada, PR</v>
      </c>
      <c r="D11" s="1" t="str">
        <f>"104.1"</f>
        <v>104.1</v>
      </c>
      <c r="E11" s="1" t="str">
        <f>"101.9"</f>
        <v>101.9</v>
      </c>
      <c r="F11" s="1" t="str">
        <f>"104.3"</f>
        <v>104.3</v>
      </c>
      <c r="G11" s="1" t="str">
        <f>"103.7"</f>
        <v>103.7</v>
      </c>
      <c r="H11" s="1" t="str">
        <f>"102.0"</f>
        <v>102.0</v>
      </c>
      <c r="I11" s="1" t="str">
        <f>"103.6"</f>
        <v>103.6</v>
      </c>
      <c r="J11" s="1" t="str">
        <f>"619.6"</f>
        <v>619.6</v>
      </c>
    </row>
    <row r="12" spans="1:10" x14ac:dyDescent="0.25">
      <c r="A12">
        <v>7</v>
      </c>
      <c r="B12" t="str">
        <f>"Poole, Josh (375344)"</f>
        <v>Poole, Josh (375344)</v>
      </c>
      <c r="C12" t="str">
        <f>"Williamsburg , VA"</f>
        <v>Williamsburg , VA</v>
      </c>
      <c r="D12" s="1" t="str">
        <f>"104.4"</f>
        <v>104.4</v>
      </c>
      <c r="E12" s="1" t="str">
        <f>"104.3"</f>
        <v>104.3</v>
      </c>
      <c r="F12" s="1" t="str">
        <f>"101.6"</f>
        <v>101.6</v>
      </c>
      <c r="G12" s="1" t="str">
        <f>"103.0"</f>
        <v>103.0</v>
      </c>
      <c r="H12" s="1" t="str">
        <f>"101.4"</f>
        <v>101.4</v>
      </c>
      <c r="I12" s="1" t="str">
        <f>"103.8"</f>
        <v>103.8</v>
      </c>
      <c r="J12" s="1" t="str">
        <f>"618.5"</f>
        <v>618.5</v>
      </c>
    </row>
    <row r="13" spans="1:10" x14ac:dyDescent="0.25">
      <c r="A13">
        <v>8</v>
      </c>
      <c r="B13" t="str">
        <f>"Shanebrook, Daniel (180675)"</f>
        <v>Shanebrook, Daniel (180675)</v>
      </c>
      <c r="C13" t="str">
        <f>", "</f>
        <v xml:space="preserve">, </v>
      </c>
      <c r="D13" s="1" t="str">
        <f>"101.9"</f>
        <v>101.9</v>
      </c>
      <c r="E13" s="1" t="str">
        <f>"101.2"</f>
        <v>101.2</v>
      </c>
      <c r="F13" s="1" t="str">
        <f>"103.0"</f>
        <v>103.0</v>
      </c>
      <c r="G13" s="1" t="str">
        <f>"102.7"</f>
        <v>102.7</v>
      </c>
      <c r="H13" s="1" t="str">
        <f>"104.0"</f>
        <v>104.0</v>
      </c>
      <c r="I13" s="1" t="str">
        <f>"103.4"</f>
        <v>103.4</v>
      </c>
      <c r="J13" s="1" t="str">
        <f>"616.2"</f>
        <v>616.2</v>
      </c>
    </row>
    <row r="14" spans="1:10" x14ac:dyDescent="0.25">
      <c r="A14">
        <v>9</v>
      </c>
      <c r="B14" t="str">
        <f>"Blanton III, John (284183)"</f>
        <v>Blanton III, John (284183)</v>
      </c>
      <c r="C14" t="str">
        <f>"West Point, MS"</f>
        <v>West Point, MS</v>
      </c>
      <c r="D14" s="1" t="str">
        <f>"103.5"</f>
        <v>103.5</v>
      </c>
      <c r="E14" s="1" t="str">
        <f>"100.4"</f>
        <v>100.4</v>
      </c>
      <c r="F14" s="1" t="str">
        <f>"103.0"</f>
        <v>103.0</v>
      </c>
      <c r="G14" s="1" t="str">
        <f>"103.1"</f>
        <v>103.1</v>
      </c>
      <c r="H14" s="1" t="str">
        <f>"103.5"</f>
        <v>103.5</v>
      </c>
      <c r="I14" s="1" t="str">
        <f>"102.0"</f>
        <v>102.0</v>
      </c>
      <c r="J14" s="1" t="str">
        <f>"615.5"</f>
        <v>615.5</v>
      </c>
    </row>
    <row r="15" spans="1:10" x14ac:dyDescent="0.25">
      <c r="A15">
        <v>10</v>
      </c>
      <c r="B15" t="str">
        <f>"Fares, Nicholas (229255)"</f>
        <v>Fares, Nicholas (229255)</v>
      </c>
      <c r="C15" t="str">
        <f>"Lebanon, OH"</f>
        <v>Lebanon, OH</v>
      </c>
      <c r="D15" s="1" t="str">
        <f>"103.9"</f>
        <v>103.9</v>
      </c>
      <c r="E15" s="1" t="str">
        <f>"104.3"</f>
        <v>104.3</v>
      </c>
      <c r="F15" s="1" t="str">
        <f>"102.1"</f>
        <v>102.1</v>
      </c>
      <c r="G15" s="1" t="str">
        <f>"102.0"</f>
        <v>102.0</v>
      </c>
      <c r="H15" s="1" t="str">
        <f>"101.6"</f>
        <v>101.6</v>
      </c>
      <c r="I15" s="1" t="str">
        <f>"101.6"</f>
        <v>101.6</v>
      </c>
      <c r="J15" s="1" t="str">
        <f>"615.5"</f>
        <v>615.5</v>
      </c>
    </row>
    <row r="16" spans="1:10" x14ac:dyDescent="0.25">
      <c r="A16">
        <v>11</v>
      </c>
      <c r="B16" t="str">
        <f>"Myers, Trey (382637)"</f>
        <v>Myers, Trey (382637)</v>
      </c>
      <c r="C16" t="str">
        <f>"Bedford, PA"</f>
        <v>Bedford, PA</v>
      </c>
      <c r="D16" s="1" t="str">
        <f>"103.1"</f>
        <v>103.1</v>
      </c>
      <c r="E16" s="1" t="str">
        <f>"103.3"</f>
        <v>103.3</v>
      </c>
      <c r="F16" s="1" t="str">
        <f>"104.6"</f>
        <v>104.6</v>
      </c>
      <c r="G16" s="1" t="str">
        <f>"102.5"</f>
        <v>102.5</v>
      </c>
      <c r="H16" s="1" t="str">
        <f>"101.9"</f>
        <v>101.9</v>
      </c>
      <c r="I16" s="1" t="str">
        <f>"99.8"</f>
        <v>99.8</v>
      </c>
      <c r="J16" s="1" t="str">
        <f>"615.2"</f>
        <v>615.2</v>
      </c>
    </row>
    <row r="17" spans="1:10" x14ac:dyDescent="0.25">
      <c r="A17">
        <v>12</v>
      </c>
      <c r="B17" t="str">
        <f>"Wee, Ryan (339685)"</f>
        <v>Wee, Ryan (339685)</v>
      </c>
      <c r="C17" t="str">
        <f>"Wake Forest , NC"</f>
        <v>Wake Forest , NC</v>
      </c>
      <c r="D17" s="1" t="str">
        <f>"101.7"</f>
        <v>101.7</v>
      </c>
      <c r="E17" s="1" t="str">
        <f>"101.6"</f>
        <v>101.6</v>
      </c>
      <c r="F17" s="1" t="str">
        <f>"104.0"</f>
        <v>104.0</v>
      </c>
      <c r="G17" s="1" t="str">
        <f>"102.1"</f>
        <v>102.1</v>
      </c>
      <c r="H17" s="1" t="str">
        <f>"101.1"</f>
        <v>101.1</v>
      </c>
      <c r="I17" s="1" t="str">
        <f>"102.7"</f>
        <v>102.7</v>
      </c>
      <c r="J17" s="1" t="str">
        <f>"613.2"</f>
        <v>613.2</v>
      </c>
    </row>
    <row r="18" spans="1:10" x14ac:dyDescent="0.25">
      <c r="A18">
        <v>13</v>
      </c>
      <c r="B18" t="str">
        <f>"Michalak, Braden (262179)"</f>
        <v>Michalak, Braden (262179)</v>
      </c>
      <c r="C18" t="str">
        <f>"Canton, MI"</f>
        <v>Canton, MI</v>
      </c>
      <c r="D18" s="1" t="str">
        <f>"102.6"</f>
        <v>102.6</v>
      </c>
      <c r="E18" s="1" t="str">
        <f>"103.2"</f>
        <v>103.2</v>
      </c>
      <c r="F18" s="1" t="str">
        <f>"101.7"</f>
        <v>101.7</v>
      </c>
      <c r="G18" s="1" t="str">
        <f>"101.3"</f>
        <v>101.3</v>
      </c>
      <c r="H18" s="1" t="str">
        <f>"101.8"</f>
        <v>101.8</v>
      </c>
      <c r="I18" s="1" t="str">
        <f>"102.6"</f>
        <v>102.6</v>
      </c>
      <c r="J18" s="1" t="str">
        <f>"613.2"</f>
        <v>613.2</v>
      </c>
    </row>
    <row r="19" spans="1:10" x14ac:dyDescent="0.25">
      <c r="A19">
        <v>14</v>
      </c>
      <c r="B19" t="str">
        <f>"Lopez, Eyvin (400420)"</f>
        <v>Lopez, Eyvin (400420)</v>
      </c>
      <c r="C19" t="str">
        <f>"Mayaguez, PR"</f>
        <v>Mayaguez, PR</v>
      </c>
      <c r="D19" s="1" t="str">
        <f>"101.9"</f>
        <v>101.9</v>
      </c>
      <c r="E19" s="1" t="str">
        <f>"104.3"</f>
        <v>104.3</v>
      </c>
      <c r="F19" s="1" t="str">
        <f>"101.7"</f>
        <v>101.7</v>
      </c>
      <c r="G19" s="1" t="str">
        <f>"101.3"</f>
        <v>101.3</v>
      </c>
      <c r="H19" s="1" t="str">
        <f>"102.7"</f>
        <v>102.7</v>
      </c>
      <c r="I19" s="1" t="str">
        <f>"100.8"</f>
        <v>100.8</v>
      </c>
      <c r="J19" s="1" t="str">
        <f>"612.7"</f>
        <v>612.7</v>
      </c>
    </row>
    <row r="20" spans="1:10" x14ac:dyDescent="0.25">
      <c r="A20">
        <v>15</v>
      </c>
      <c r="B20" t="str">
        <f>"Hamilton, John (293255)"</f>
        <v>Hamilton, John (293255)</v>
      </c>
      <c r="C20" t="str">
        <f>"Corydon, IN"</f>
        <v>Corydon, IN</v>
      </c>
      <c r="D20" s="1" t="str">
        <f>"102.6"</f>
        <v>102.6</v>
      </c>
      <c r="E20" s="1" t="str">
        <f>"102.0"</f>
        <v>102.0</v>
      </c>
      <c r="F20" s="1" t="str">
        <f>"101.4"</f>
        <v>101.4</v>
      </c>
      <c r="G20" s="1" t="str">
        <f>"103.8"</f>
        <v>103.8</v>
      </c>
      <c r="H20" s="1" t="str">
        <f>"100.9"</f>
        <v>100.9</v>
      </c>
      <c r="I20" s="1" t="str">
        <f>"101.8"</f>
        <v>101.8</v>
      </c>
      <c r="J20" s="1" t="str">
        <f>"612.5"</f>
        <v>612.5</v>
      </c>
    </row>
    <row r="21" spans="1:10" x14ac:dyDescent="0.25">
      <c r="A21">
        <v>16</v>
      </c>
      <c r="B21" t="str">
        <f>"Seitz, Brendan (209187)"</f>
        <v>Seitz, Brendan (209187)</v>
      </c>
      <c r="C21" t="str">
        <f>"Milford, MA"</f>
        <v>Milford, MA</v>
      </c>
      <c r="D21" s="1" t="str">
        <f>"103.6"</f>
        <v>103.6</v>
      </c>
      <c r="E21" s="1" t="str">
        <f>"102.9"</f>
        <v>102.9</v>
      </c>
      <c r="F21" s="1" t="str">
        <f>"103.1"</f>
        <v>103.1</v>
      </c>
      <c r="G21" s="1" t="str">
        <f>"103.3"</f>
        <v>103.3</v>
      </c>
      <c r="H21" s="1" t="str">
        <f>"99.8"</f>
        <v>99.8</v>
      </c>
      <c r="I21" s="1" t="str">
        <f>"99.1"</f>
        <v>99.1</v>
      </c>
      <c r="J21" s="1" t="str">
        <f>"611.8"</f>
        <v>611.8</v>
      </c>
    </row>
    <row r="22" spans="1:10" x14ac:dyDescent="0.25">
      <c r="A22">
        <v>17</v>
      </c>
      <c r="B22" t="str">
        <f>"Kuhne, George, III (314231)"</f>
        <v>Kuhne, George, III (314231)</v>
      </c>
      <c r="C22" t="str">
        <f>"Everett, PA"</f>
        <v>Everett, PA</v>
      </c>
      <c r="D22" s="1" t="str">
        <f>"100.9"</f>
        <v>100.9</v>
      </c>
      <c r="E22" s="1" t="str">
        <f>"100.8"</f>
        <v>100.8</v>
      </c>
      <c r="F22" s="1" t="str">
        <f>"101.2"</f>
        <v>101.2</v>
      </c>
      <c r="G22" s="1" t="str">
        <f>"101.1"</f>
        <v>101.1</v>
      </c>
      <c r="H22" s="1" t="str">
        <f>"104.3"</f>
        <v>104.3</v>
      </c>
      <c r="I22" s="1" t="str">
        <f>"102.5"</f>
        <v>102.5</v>
      </c>
      <c r="J22" s="1" t="str">
        <f>"610.8"</f>
        <v>610.8</v>
      </c>
    </row>
    <row r="23" spans="1:10" x14ac:dyDescent="0.25">
      <c r="A23">
        <v>18</v>
      </c>
      <c r="B23" t="str">
        <f>"Uhrich, Devin (310480)"</f>
        <v>Uhrich, Devin (310480)</v>
      </c>
      <c r="C23" t="str">
        <f>"Camp Hill, PA"</f>
        <v>Camp Hill, PA</v>
      </c>
      <c r="D23" s="1" t="str">
        <f>"101.1"</f>
        <v>101.1</v>
      </c>
      <c r="E23" s="1" t="str">
        <f>"102.5"</f>
        <v>102.5</v>
      </c>
      <c r="F23" s="1" t="str">
        <f>"101.1"</f>
        <v>101.1</v>
      </c>
      <c r="G23" s="1" t="str">
        <f>"103.1"</f>
        <v>103.1</v>
      </c>
      <c r="H23" s="1" t="str">
        <f>"101.2"</f>
        <v>101.2</v>
      </c>
      <c r="I23" s="1" t="str">
        <f>"101.6"</f>
        <v>101.6</v>
      </c>
      <c r="J23" s="1" t="str">
        <f>"610.6"</f>
        <v>610.6</v>
      </c>
    </row>
    <row r="24" spans="1:10" x14ac:dyDescent="0.25">
      <c r="A24">
        <v>19</v>
      </c>
      <c r="B24" t="str">
        <f>"Perkowski, Teagan (218311)"</f>
        <v>Perkowski, Teagan (218311)</v>
      </c>
      <c r="C24" t="str">
        <f>"Bolivar, OH"</f>
        <v>Bolivar, OH</v>
      </c>
      <c r="D24" s="1" t="str">
        <f>"102.2"</f>
        <v>102.2</v>
      </c>
      <c r="E24" s="1" t="str">
        <f>"98.4"</f>
        <v>98.4</v>
      </c>
      <c r="F24" s="1" t="str">
        <f>"101.8"</f>
        <v>101.8</v>
      </c>
      <c r="G24" s="1" t="str">
        <f>"104.4"</f>
        <v>104.4</v>
      </c>
      <c r="H24" s="1" t="str">
        <f>"100.2"</f>
        <v>100.2</v>
      </c>
      <c r="I24" s="1" t="str">
        <f>"101.8"</f>
        <v>101.8</v>
      </c>
      <c r="J24" s="1" t="str">
        <f>"608.8"</f>
        <v>608.8</v>
      </c>
    </row>
    <row r="25" spans="1:10" x14ac:dyDescent="0.25">
      <c r="A25">
        <v>20</v>
      </c>
      <c r="B25" t="str">
        <f>"Punukollu, Rushil (381199)"</f>
        <v>Punukollu, Rushil (381199)</v>
      </c>
      <c r="C25" t="str">
        <f>"Fairfax, VA"</f>
        <v>Fairfax, VA</v>
      </c>
      <c r="D25" s="1" t="str">
        <f>"101.6"</f>
        <v>101.6</v>
      </c>
      <c r="E25" s="1" t="str">
        <f>"102.1"</f>
        <v>102.1</v>
      </c>
      <c r="F25" s="1" t="str">
        <f>"100.7"</f>
        <v>100.7</v>
      </c>
      <c r="G25" s="1" t="str">
        <f>"102.4"</f>
        <v>102.4</v>
      </c>
      <c r="H25" s="1" t="str">
        <f>"101.8"</f>
        <v>101.8</v>
      </c>
      <c r="I25" s="1" t="str">
        <f>"99.8"</f>
        <v>99.8</v>
      </c>
      <c r="J25" s="1" t="str">
        <f>"608.4"</f>
        <v>608.4</v>
      </c>
    </row>
    <row r="26" spans="1:10" x14ac:dyDescent="0.25">
      <c r="A26">
        <v>21</v>
      </c>
      <c r="B26" t="str">
        <f>"Eastman, Haven (419321)"</f>
        <v>Eastman, Haven (419321)</v>
      </c>
      <c r="C26" t="str">
        <f>"Fort Wayne, IN"</f>
        <v>Fort Wayne, IN</v>
      </c>
      <c r="D26" s="1" t="str">
        <f>"104.4"</f>
        <v>104.4</v>
      </c>
      <c r="E26" s="1" t="str">
        <f>"99.2"</f>
        <v>99.2</v>
      </c>
      <c r="F26" s="1" t="str">
        <f>"99.6"</f>
        <v>99.6</v>
      </c>
      <c r="G26" s="1" t="str">
        <f>"101.3"</f>
        <v>101.3</v>
      </c>
      <c r="H26" s="1" t="str">
        <f>"100.9"</f>
        <v>100.9</v>
      </c>
      <c r="I26" s="1" t="str">
        <f>"101.3"</f>
        <v>101.3</v>
      </c>
      <c r="J26" s="1" t="str">
        <f>"606.7"</f>
        <v>606.7</v>
      </c>
    </row>
    <row r="27" spans="1:10" x14ac:dyDescent="0.25">
      <c r="A27">
        <v>22</v>
      </c>
      <c r="B27" t="str">
        <f>"Nickless, Samuel (403411)"</f>
        <v>Nickless, Samuel (403411)</v>
      </c>
      <c r="C27" t="str">
        <f>"Fairfax, VA"</f>
        <v>Fairfax, VA</v>
      </c>
      <c r="D27" s="1" t="str">
        <f>"103.9"</f>
        <v>103.9</v>
      </c>
      <c r="E27" s="1" t="str">
        <f>"101.3"</f>
        <v>101.3</v>
      </c>
      <c r="F27" s="1" t="str">
        <f>"100.1"</f>
        <v>100.1</v>
      </c>
      <c r="G27" s="1" t="str">
        <f>"100.4"</f>
        <v>100.4</v>
      </c>
      <c r="H27" s="1" t="str">
        <f>"100.6"</f>
        <v>100.6</v>
      </c>
      <c r="I27" s="1" t="str">
        <f>"100.0"</f>
        <v>100.0</v>
      </c>
      <c r="J27" s="1" t="str">
        <f>"606.3"</f>
        <v>606.3</v>
      </c>
    </row>
    <row r="28" spans="1:10" x14ac:dyDescent="0.25">
      <c r="A28">
        <v>23</v>
      </c>
      <c r="B28" t="str">
        <f>"Paul, Dylan (372487)"</f>
        <v>Paul, Dylan (372487)</v>
      </c>
      <c r="C28" t="str">
        <f>"Churubusco, IN"</f>
        <v>Churubusco, IN</v>
      </c>
      <c r="D28" s="1" t="str">
        <f>"100.0"</f>
        <v>100.0</v>
      </c>
      <c r="E28" s="1" t="str">
        <f>"100.6"</f>
        <v>100.6</v>
      </c>
      <c r="F28" s="1" t="str">
        <f>"101.2"</f>
        <v>101.2</v>
      </c>
      <c r="G28" s="1" t="str">
        <f>"103.6"</f>
        <v>103.6</v>
      </c>
      <c r="H28" s="1" t="str">
        <f>"101.4"</f>
        <v>101.4</v>
      </c>
      <c r="I28" s="1" t="str">
        <f>"99.3"</f>
        <v>99.3</v>
      </c>
      <c r="J28" s="1" t="str">
        <f>"606.1"</f>
        <v>606.1</v>
      </c>
    </row>
    <row r="29" spans="1:10" x14ac:dyDescent="0.25">
      <c r="A29">
        <v>24</v>
      </c>
      <c r="B29" t="str">
        <f>"Frey, Philip (252732)"</f>
        <v>Frey, Philip (252732)</v>
      </c>
      <c r="C29" t="str">
        <f>"Hayes, VA"</f>
        <v>Hayes, VA</v>
      </c>
      <c r="D29" s="1" t="str">
        <f>"100.1"</f>
        <v>100.1</v>
      </c>
      <c r="E29" s="1" t="str">
        <f>"102.4"</f>
        <v>102.4</v>
      </c>
      <c r="F29" s="1" t="str">
        <f>"101.3"</f>
        <v>101.3</v>
      </c>
      <c r="G29" s="1" t="str">
        <f>"100.0"</f>
        <v>100.0</v>
      </c>
      <c r="H29" s="1" t="str">
        <f>"101.5"</f>
        <v>101.5</v>
      </c>
      <c r="I29" s="1" t="str">
        <f>"100.7"</f>
        <v>100.7</v>
      </c>
      <c r="J29" s="1" t="str">
        <f>"606.0"</f>
        <v>606.0</v>
      </c>
    </row>
    <row r="30" spans="1:10" x14ac:dyDescent="0.25">
      <c r="A30">
        <v>25</v>
      </c>
      <c r="B30" t="str">
        <f>"Vasilchuk, Mikita (440468)"</f>
        <v>Vasilchuk, Mikita (440468)</v>
      </c>
      <c r="C30" t="str">
        <f>"Ypsilanti, MI"</f>
        <v>Ypsilanti, MI</v>
      </c>
      <c r="D30" s="1" t="str">
        <f>"99.4"</f>
        <v>99.4</v>
      </c>
      <c r="E30" s="1" t="str">
        <f>"100.7"</f>
        <v>100.7</v>
      </c>
      <c r="F30" s="1" t="str">
        <f>"102.8"</f>
        <v>102.8</v>
      </c>
      <c r="G30" s="1" t="str">
        <f>"100.0"</f>
        <v>100.0</v>
      </c>
      <c r="H30" s="1" t="str">
        <f>"100.9"</f>
        <v>100.9</v>
      </c>
      <c r="I30" s="1" t="str">
        <f>"101.6"</f>
        <v>101.6</v>
      </c>
      <c r="J30" s="1" t="str">
        <f>"605.4"</f>
        <v>605.4</v>
      </c>
    </row>
    <row r="31" spans="1:10" x14ac:dyDescent="0.25">
      <c r="A31">
        <v>26</v>
      </c>
      <c r="B31" t="str">
        <f>"Mauriello, Zachary (361139)"</f>
        <v>Mauriello, Zachary (361139)</v>
      </c>
      <c r="C31" t="str">
        <f>"Woodstock, GA"</f>
        <v>Woodstock, GA</v>
      </c>
      <c r="D31" s="1" t="str">
        <f>"102.4"</f>
        <v>102.4</v>
      </c>
      <c r="E31" s="1" t="str">
        <f>"100.5"</f>
        <v>100.5</v>
      </c>
      <c r="F31" s="1" t="str">
        <f>"102.0"</f>
        <v>102.0</v>
      </c>
      <c r="G31" s="1" t="str">
        <f>"98.4"</f>
        <v>98.4</v>
      </c>
      <c r="H31" s="1" t="str">
        <f>"100.9"</f>
        <v>100.9</v>
      </c>
      <c r="I31" s="1" t="str">
        <f>"101.0"</f>
        <v>101.0</v>
      </c>
      <c r="J31" s="1" t="str">
        <f>"605.2"</f>
        <v>605.2</v>
      </c>
    </row>
    <row r="32" spans="1:10" x14ac:dyDescent="0.25">
      <c r="A32">
        <v>27</v>
      </c>
      <c r="B32" t="str">
        <f>"Enriquez Flores, Gustavo (400411)"</f>
        <v>Enriquez Flores, Gustavo (400411)</v>
      </c>
      <c r="C32" t="str">
        <f>"Mayaguez, PR"</f>
        <v>Mayaguez, PR</v>
      </c>
      <c r="D32" s="1" t="str">
        <f>"99.0"</f>
        <v>99.0</v>
      </c>
      <c r="E32" s="1" t="str">
        <f>"100.9"</f>
        <v>100.9</v>
      </c>
      <c r="F32" s="1" t="str">
        <f>"98.6"</f>
        <v>98.6</v>
      </c>
      <c r="G32" s="1" t="str">
        <f>"101.4"</f>
        <v>101.4</v>
      </c>
      <c r="H32" s="1" t="str">
        <f>"103.0"</f>
        <v>103.0</v>
      </c>
      <c r="I32" s="1" t="str">
        <f>"102.1"</f>
        <v>102.1</v>
      </c>
      <c r="J32" s="1" t="str">
        <f>"605.0"</f>
        <v>605.0</v>
      </c>
    </row>
    <row r="33" spans="1:10" x14ac:dyDescent="0.25">
      <c r="A33">
        <v>28</v>
      </c>
      <c r="B33" t="str">
        <f>"Borthwick, Paul (162283)"</f>
        <v>Borthwick, Paul (162283)</v>
      </c>
      <c r="C33" t="str">
        <f>"Glenelg, MD"</f>
        <v>Glenelg, MD</v>
      </c>
      <c r="D33" s="1" t="str">
        <f>"98.4"</f>
        <v>98.4</v>
      </c>
      <c r="E33" s="1" t="str">
        <f>"104.2"</f>
        <v>104.2</v>
      </c>
      <c r="F33" s="1" t="str">
        <f>"98.8"</f>
        <v>98.8</v>
      </c>
      <c r="G33" s="1" t="str">
        <f>"102.9"</f>
        <v>102.9</v>
      </c>
      <c r="H33" s="1" t="str">
        <f>"101.1"</f>
        <v>101.1</v>
      </c>
      <c r="I33" s="1" t="str">
        <f>"98.7"</f>
        <v>98.7</v>
      </c>
      <c r="J33" s="1" t="str">
        <f>"604.1"</f>
        <v>604.1</v>
      </c>
    </row>
    <row r="34" spans="1:10" x14ac:dyDescent="0.25">
      <c r="A34">
        <v>29</v>
      </c>
      <c r="B34" t="str">
        <f>"Guise, Owen (308831)"</f>
        <v>Guise, Owen (308831)</v>
      </c>
      <c r="C34" t="str">
        <f>"Fort Wayne, IN"</f>
        <v>Fort Wayne, IN</v>
      </c>
      <c r="D34" s="1" t="str">
        <f>"101.2"</f>
        <v>101.2</v>
      </c>
      <c r="E34" s="1" t="str">
        <f>"100.4"</f>
        <v>100.4</v>
      </c>
      <c r="F34" s="1" t="str">
        <f>"101.3"</f>
        <v>101.3</v>
      </c>
      <c r="G34" s="1" t="str">
        <f>"102.0"</f>
        <v>102.0</v>
      </c>
      <c r="H34" s="1" t="str">
        <f>"99.5"</f>
        <v>99.5</v>
      </c>
      <c r="I34" s="1" t="str">
        <f>"99.4"</f>
        <v>99.4</v>
      </c>
      <c r="J34" s="1" t="str">
        <f>"603.8"</f>
        <v>603.8</v>
      </c>
    </row>
    <row r="35" spans="1:10" x14ac:dyDescent="0.25">
      <c r="A35">
        <v>30</v>
      </c>
      <c r="B35" t="str">
        <f>"Roseberry II, Bobby (367088)"</f>
        <v>Roseberry II, Bobby (367088)</v>
      </c>
      <c r="C35" t="str">
        <f>"Marietta, OH"</f>
        <v>Marietta, OH</v>
      </c>
      <c r="D35" s="1" t="str">
        <f>"99.8"</f>
        <v>99.8</v>
      </c>
      <c r="E35" s="1" t="str">
        <f>"100.9"</f>
        <v>100.9</v>
      </c>
      <c r="F35" s="1" t="str">
        <f>"100.8"</f>
        <v>100.8</v>
      </c>
      <c r="G35" s="1" t="str">
        <f>"100.8"</f>
        <v>100.8</v>
      </c>
      <c r="H35" s="1" t="str">
        <f>"101.1"</f>
        <v>101.1</v>
      </c>
      <c r="I35" s="1" t="str">
        <f>"99.1"</f>
        <v>99.1</v>
      </c>
      <c r="J35" s="1" t="str">
        <f>"602.5"</f>
        <v>602.5</v>
      </c>
    </row>
    <row r="36" spans="1:10" x14ac:dyDescent="0.25">
      <c r="A36">
        <v>31</v>
      </c>
      <c r="B36" t="str">
        <f>"Hersh III, Terry, Mr., III (319576)"</f>
        <v>Hersh III, Terry, Mr., III (319576)</v>
      </c>
      <c r="C36" t="str">
        <f>"Easton, PA"</f>
        <v>Easton, PA</v>
      </c>
      <c r="D36" s="1" t="str">
        <f>"98.9"</f>
        <v>98.9</v>
      </c>
      <c r="E36" s="1" t="str">
        <f>"101.5"</f>
        <v>101.5</v>
      </c>
      <c r="F36" s="1" t="str">
        <f>"100.8"</f>
        <v>100.8</v>
      </c>
      <c r="G36" s="1" t="str">
        <f>"101.2"</f>
        <v>101.2</v>
      </c>
      <c r="H36" s="1" t="str">
        <f>"99.8"</f>
        <v>99.8</v>
      </c>
      <c r="I36" s="1" t="str">
        <f>"99.8"</f>
        <v>99.8</v>
      </c>
      <c r="J36" s="1" t="str">
        <f>"602.0"</f>
        <v>602.0</v>
      </c>
    </row>
    <row r="37" spans="1:10" x14ac:dyDescent="0.25">
      <c r="A37">
        <v>32</v>
      </c>
      <c r="B37" t="str">
        <f>"Ossi, Matthias (365492)"</f>
        <v>Ossi, Matthias (365492)</v>
      </c>
      <c r="C37" t="str">
        <f>"Annandale, NJ"</f>
        <v>Annandale, NJ</v>
      </c>
      <c r="D37" s="1" t="str">
        <f>"100.7"</f>
        <v>100.7</v>
      </c>
      <c r="E37" s="1" t="str">
        <f>"101.2"</f>
        <v>101.2</v>
      </c>
      <c r="F37" s="1" t="str">
        <f>"100.9"</f>
        <v>100.9</v>
      </c>
      <c r="G37" s="1" t="str">
        <f>"99.6"</f>
        <v>99.6</v>
      </c>
      <c r="H37" s="1" t="str">
        <f>"97.5"</f>
        <v>97.5</v>
      </c>
      <c r="I37" s="1" t="str">
        <f>"101.7"</f>
        <v>101.7</v>
      </c>
      <c r="J37" s="1" t="str">
        <f>"601.6"</f>
        <v>601.6</v>
      </c>
    </row>
    <row r="38" spans="1:10" x14ac:dyDescent="0.25">
      <c r="A38">
        <v>33</v>
      </c>
      <c r="B38" t="str">
        <f>"Tegeler, Liam (367351)"</f>
        <v>Tegeler, Liam (367351)</v>
      </c>
      <c r="C38" t="str">
        <f>"Bedford, PA"</f>
        <v>Bedford, PA</v>
      </c>
      <c r="D38" s="1" t="str">
        <f>"101.7"</f>
        <v>101.7</v>
      </c>
      <c r="E38" s="1" t="str">
        <f>"98.7"</f>
        <v>98.7</v>
      </c>
      <c r="F38" s="1" t="str">
        <f>"97.9"</f>
        <v>97.9</v>
      </c>
      <c r="G38" s="1" t="str">
        <f>"101.2"</f>
        <v>101.2</v>
      </c>
      <c r="H38" s="1" t="str">
        <f>"100.7"</f>
        <v>100.7</v>
      </c>
      <c r="I38" s="1" t="str">
        <f>"100.5"</f>
        <v>100.5</v>
      </c>
      <c r="J38" s="1" t="str">
        <f>"600.7"</f>
        <v>600.7</v>
      </c>
    </row>
    <row r="39" spans="1:10" x14ac:dyDescent="0.25">
      <c r="A39">
        <v>34</v>
      </c>
      <c r="B39" t="str">
        <f>"Harlow, Ryan (274912)"</f>
        <v>Harlow, Ryan (274912)</v>
      </c>
      <c r="C39" t="str">
        <f>"FPO, AP"</f>
        <v>FPO, AP</v>
      </c>
      <c r="D39" s="1" t="str">
        <f>"101.0"</f>
        <v>101.0</v>
      </c>
      <c r="E39" s="1" t="str">
        <f>"100.3"</f>
        <v>100.3</v>
      </c>
      <c r="F39" s="1" t="str">
        <f>"101.2"</f>
        <v>101.2</v>
      </c>
      <c r="G39" s="1" t="str">
        <f>"97.7"</f>
        <v>97.7</v>
      </c>
      <c r="H39" s="1" t="str">
        <f>"100.5"</f>
        <v>100.5</v>
      </c>
      <c r="I39" s="1" t="str">
        <f>"99.6"</f>
        <v>99.6</v>
      </c>
      <c r="J39" s="1" t="str">
        <f>"600.3"</f>
        <v>600.3</v>
      </c>
    </row>
    <row r="40" spans="1:10" x14ac:dyDescent="0.25">
      <c r="A40">
        <v>35</v>
      </c>
      <c r="B40" t="str">
        <f>"Lyons, Ian (400645)"</f>
        <v>Lyons, Ian (400645)</v>
      </c>
      <c r="C40" t="str">
        <f>"Strasburg, PA"</f>
        <v>Strasburg, PA</v>
      </c>
      <c r="D40" s="1" t="str">
        <f>"101.3"</f>
        <v>101.3</v>
      </c>
      <c r="E40" s="1" t="str">
        <f>"100.2"</f>
        <v>100.2</v>
      </c>
      <c r="F40" s="1" t="str">
        <f>"99.6"</f>
        <v>99.6</v>
      </c>
      <c r="G40" s="1" t="str">
        <f>"97.6"</f>
        <v>97.6</v>
      </c>
      <c r="H40" s="1" t="str">
        <f>"100.0"</f>
        <v>100.0</v>
      </c>
      <c r="I40" s="1" t="str">
        <f>"101.5"</f>
        <v>101.5</v>
      </c>
      <c r="J40" s="1" t="str">
        <f>"600.2"</f>
        <v>600.2</v>
      </c>
    </row>
    <row r="41" spans="1:10" x14ac:dyDescent="0.25">
      <c r="A41">
        <v>36</v>
      </c>
      <c r="B41" t="str">
        <f>"Druley, Nikodemus (397227)"</f>
        <v>Druley, Nikodemus (397227)</v>
      </c>
      <c r="C41" t="str">
        <f>"Fort Wayne, IN"</f>
        <v>Fort Wayne, IN</v>
      </c>
      <c r="D41" s="1" t="str">
        <f>"102.6"</f>
        <v>102.6</v>
      </c>
      <c r="E41" s="1" t="str">
        <f>"101.8"</f>
        <v>101.8</v>
      </c>
      <c r="F41" s="1" t="str">
        <f>"101.8"</f>
        <v>101.8</v>
      </c>
      <c r="G41" s="1" t="str">
        <f>"97.5"</f>
        <v>97.5</v>
      </c>
      <c r="H41" s="1" t="str">
        <f>"96.2"</f>
        <v>96.2</v>
      </c>
      <c r="I41" s="1" t="str">
        <f>"99.9"</f>
        <v>99.9</v>
      </c>
      <c r="J41" s="1" t="str">
        <f>"599.8"</f>
        <v>599.8</v>
      </c>
    </row>
    <row r="42" spans="1:10" x14ac:dyDescent="0.25">
      <c r="A42">
        <v>37</v>
      </c>
      <c r="B42" t="str">
        <f>"Smith, Everett (325340)"</f>
        <v>Smith, Everett (325340)</v>
      </c>
      <c r="C42" t="str">
        <f>"Keyser , WV"</f>
        <v>Keyser , WV</v>
      </c>
      <c r="D42" s="1" t="str">
        <f>"99.6"</f>
        <v>99.6</v>
      </c>
      <c r="E42" s="1" t="str">
        <f>"100.7"</f>
        <v>100.7</v>
      </c>
      <c r="F42" s="1" t="str">
        <f>"100.1"</f>
        <v>100.1</v>
      </c>
      <c r="G42" s="1" t="str">
        <f>"98.8"</f>
        <v>98.8</v>
      </c>
      <c r="H42" s="1" t="str">
        <f>"101.2"</f>
        <v>101.2</v>
      </c>
      <c r="I42" s="1" t="str">
        <f>"99.1"</f>
        <v>99.1</v>
      </c>
      <c r="J42" s="1" t="str">
        <f>"599.5"</f>
        <v>599.5</v>
      </c>
    </row>
    <row r="43" spans="1:10" x14ac:dyDescent="0.25">
      <c r="A43">
        <v>38</v>
      </c>
      <c r="B43" t="str">
        <f>"Fahey, Neilan (345087)"</f>
        <v>Fahey, Neilan (345087)</v>
      </c>
      <c r="C43" t="str">
        <f>"Medway, MA"</f>
        <v>Medway, MA</v>
      </c>
      <c r="D43" s="1" t="str">
        <f>"96.9"</f>
        <v>96.9</v>
      </c>
      <c r="E43" s="1" t="str">
        <f>"102.4"</f>
        <v>102.4</v>
      </c>
      <c r="F43" s="1" t="str">
        <f>"100.8"</f>
        <v>100.8</v>
      </c>
      <c r="G43" s="1" t="str">
        <f>"99.0"</f>
        <v>99.0</v>
      </c>
      <c r="H43" s="1" t="str">
        <f>"100.7"</f>
        <v>100.7</v>
      </c>
      <c r="I43" s="1" t="str">
        <f>"99.4"</f>
        <v>99.4</v>
      </c>
      <c r="J43" s="1" t="str">
        <f>"599.2"</f>
        <v>599.2</v>
      </c>
    </row>
    <row r="44" spans="1:10" x14ac:dyDescent="0.25">
      <c r="A44">
        <v>39</v>
      </c>
      <c r="B44" t="str">
        <f>"Schmidt, Marshall (459943)"</f>
        <v>Schmidt, Marshall (459943)</v>
      </c>
      <c r="C44" t="str">
        <f>"BALLSTON SPA, NY"</f>
        <v>BALLSTON SPA, NY</v>
      </c>
      <c r="D44" s="1" t="str">
        <f>"99.0"</f>
        <v>99.0</v>
      </c>
      <c r="E44" s="1" t="str">
        <f>"100.1"</f>
        <v>100.1</v>
      </c>
      <c r="F44" s="1" t="str">
        <f>"100.2"</f>
        <v>100.2</v>
      </c>
      <c r="G44" s="1" t="str">
        <f>"99.5"</f>
        <v>99.5</v>
      </c>
      <c r="H44" s="1" t="str">
        <f>"98.7"</f>
        <v>98.7</v>
      </c>
      <c r="I44" s="1" t="str">
        <f>"101.5"</f>
        <v>101.5</v>
      </c>
      <c r="J44" s="1" t="str">
        <f>"599.0"</f>
        <v>599.0</v>
      </c>
    </row>
    <row r="45" spans="1:10" x14ac:dyDescent="0.25">
      <c r="A45">
        <v>40</v>
      </c>
      <c r="B45" t="str">
        <f>"Shipley, James (320956)"</f>
        <v>Shipley, James (320956)</v>
      </c>
      <c r="C45" t="str">
        <f>"Williamstown, WV"</f>
        <v>Williamstown, WV</v>
      </c>
      <c r="D45" s="1" t="str">
        <f>"99.0"</f>
        <v>99.0</v>
      </c>
      <c r="E45" s="1" t="str">
        <f>"99.2"</f>
        <v>99.2</v>
      </c>
      <c r="F45" s="1" t="str">
        <f>"100.7"</f>
        <v>100.7</v>
      </c>
      <c r="G45" s="1" t="str">
        <f>"96.9"</f>
        <v>96.9</v>
      </c>
      <c r="H45" s="1" t="str">
        <f>"102.2"</f>
        <v>102.2</v>
      </c>
      <c r="I45" s="1" t="str">
        <f>"98.3"</f>
        <v>98.3</v>
      </c>
      <c r="J45" s="1" t="str">
        <f>"596.3"</f>
        <v>596.3</v>
      </c>
    </row>
    <row r="46" spans="1:10" x14ac:dyDescent="0.25">
      <c r="A46">
        <v>41</v>
      </c>
      <c r="B46" t="str">
        <f>"Bergman, Deitrich (279872)"</f>
        <v>Bergman, Deitrich (279872)</v>
      </c>
      <c r="C46" t="str">
        <f>"Oak Harbor, OH"</f>
        <v>Oak Harbor, OH</v>
      </c>
      <c r="D46" s="1" t="str">
        <f>"100.8"</f>
        <v>100.8</v>
      </c>
      <c r="E46" s="1" t="str">
        <f>"98.7"</f>
        <v>98.7</v>
      </c>
      <c r="F46" s="1" t="str">
        <f>"97.9"</f>
        <v>97.9</v>
      </c>
      <c r="G46" s="1" t="str">
        <f>"98.1"</f>
        <v>98.1</v>
      </c>
      <c r="H46" s="1" t="str">
        <f>"100.1"</f>
        <v>100.1</v>
      </c>
      <c r="I46" s="1" t="str">
        <f>"100.4"</f>
        <v>100.4</v>
      </c>
      <c r="J46" s="1" t="str">
        <f>"596.0"</f>
        <v>596.0</v>
      </c>
    </row>
    <row r="47" spans="1:10" x14ac:dyDescent="0.25">
      <c r="A47">
        <v>42</v>
      </c>
      <c r="B47" t="str">
        <f>"Jenkins, Hunter (434902)"</f>
        <v>Jenkins, Hunter (434902)</v>
      </c>
      <c r="C47" t="str">
        <f>"Washington, WA"</f>
        <v>Washington, WA</v>
      </c>
      <c r="D47" s="1" t="str">
        <f>"99.7"</f>
        <v>99.7</v>
      </c>
      <c r="E47" s="1" t="str">
        <f>"102.0"</f>
        <v>102.0</v>
      </c>
      <c r="F47" s="1" t="str">
        <f>"99.4"</f>
        <v>99.4</v>
      </c>
      <c r="G47" s="1" t="str">
        <f>"98.4"</f>
        <v>98.4</v>
      </c>
      <c r="H47" s="1" t="str">
        <f>"96.0"</f>
        <v>96.0</v>
      </c>
      <c r="I47" s="1" t="str">
        <f>"99.5"</f>
        <v>99.5</v>
      </c>
      <c r="J47" s="1" t="str">
        <f>"595.0"</f>
        <v>595.0</v>
      </c>
    </row>
    <row r="48" spans="1:10" x14ac:dyDescent="0.25">
      <c r="A48">
        <v>43</v>
      </c>
      <c r="B48" t="str">
        <f>"Meyer III, Charles (440640)"</f>
        <v>Meyer III, Charles (440640)</v>
      </c>
      <c r="C48" t="str">
        <f>"Long Valley, NJ"</f>
        <v>Long Valley, NJ</v>
      </c>
      <c r="D48" s="1" t="str">
        <f>"99.2"</f>
        <v>99.2</v>
      </c>
      <c r="E48" s="1" t="str">
        <f>"99.7"</f>
        <v>99.7</v>
      </c>
      <c r="F48" s="1" t="str">
        <f>"100.7"</f>
        <v>100.7</v>
      </c>
      <c r="G48" s="1" t="str">
        <f>"96.4"</f>
        <v>96.4</v>
      </c>
      <c r="H48" s="1" t="str">
        <f>"98.4"</f>
        <v>98.4</v>
      </c>
      <c r="I48" s="1" t="str">
        <f>"98.4"</f>
        <v>98.4</v>
      </c>
      <c r="J48" s="1" t="str">
        <f>"592.8"</f>
        <v>592.8</v>
      </c>
    </row>
    <row r="49" spans="1:10" x14ac:dyDescent="0.25">
      <c r="A49">
        <v>44</v>
      </c>
      <c r="B49" t="str">
        <f>"Baliva, Dominic (404703)"</f>
        <v>Baliva, Dominic (404703)</v>
      </c>
      <c r="C49" t="str">
        <f>"Rochester , NY"</f>
        <v>Rochester , NY</v>
      </c>
      <c r="D49" s="1" t="str">
        <f>"102.1"</f>
        <v>102.1</v>
      </c>
      <c r="E49" s="1" t="str">
        <f>"98.8"</f>
        <v>98.8</v>
      </c>
      <c r="F49" s="1" t="str">
        <f>"99.8"</f>
        <v>99.8</v>
      </c>
      <c r="G49" s="1" t="str">
        <f>"101.5"</f>
        <v>101.5</v>
      </c>
      <c r="H49" s="1" t="str">
        <f>"100.7"</f>
        <v>100.7</v>
      </c>
      <c r="I49" s="1" t="str">
        <f>"88.5"</f>
        <v>88.5</v>
      </c>
      <c r="J49" s="1" t="str">
        <f>"591.4"</f>
        <v>591.4</v>
      </c>
    </row>
    <row r="50" spans="1:10" x14ac:dyDescent="0.25">
      <c r="A50">
        <v>45</v>
      </c>
      <c r="B50" t="str">
        <f>"Ram, Ashwath (437333)"</f>
        <v>Ram, Ashwath (437333)</v>
      </c>
      <c r="C50" t="str">
        <f>"Monroe, NJ"</f>
        <v>Monroe, NJ</v>
      </c>
      <c r="D50" s="1" t="str">
        <f>"98.4"</f>
        <v>98.4</v>
      </c>
      <c r="E50" s="1" t="str">
        <f>"95.1"</f>
        <v>95.1</v>
      </c>
      <c r="F50" s="1" t="str">
        <f>"95.3"</f>
        <v>95.3</v>
      </c>
      <c r="G50" s="1" t="str">
        <f>"99.9"</f>
        <v>99.9</v>
      </c>
      <c r="H50" s="1" t="str">
        <f>"101.0"</f>
        <v>101.0</v>
      </c>
      <c r="I50" s="1" t="str">
        <f>"99.9"</f>
        <v>99.9</v>
      </c>
      <c r="J50" s="1" t="str">
        <f>"589.6"</f>
        <v>589.6</v>
      </c>
    </row>
    <row r="51" spans="1:10" x14ac:dyDescent="0.25">
      <c r="A51">
        <v>46</v>
      </c>
      <c r="B51" t="str">
        <f>"Malave , Ben (399775)"</f>
        <v>Malave , Ben (399775)</v>
      </c>
      <c r="C51" t="str">
        <f>"York, PA"</f>
        <v>York, PA</v>
      </c>
      <c r="D51" s="1" t="str">
        <f>"99.2"</f>
        <v>99.2</v>
      </c>
      <c r="E51" s="1" t="str">
        <f>"94.5"</f>
        <v>94.5</v>
      </c>
      <c r="F51" s="1" t="str">
        <f>"100.3"</f>
        <v>100.3</v>
      </c>
      <c r="G51" s="1" t="str">
        <f>"98.3"</f>
        <v>98.3</v>
      </c>
      <c r="H51" s="1" t="str">
        <f>"100.4"</f>
        <v>100.4</v>
      </c>
      <c r="I51" s="1" t="str">
        <f>"96.9"</f>
        <v>96.9</v>
      </c>
      <c r="J51" s="1" t="str">
        <f>"589.6"</f>
        <v>589.6</v>
      </c>
    </row>
    <row r="52" spans="1:10" x14ac:dyDescent="0.25">
      <c r="A52">
        <v>47</v>
      </c>
      <c r="B52" t="str">
        <f>"Johnson, Finn (404971)"</f>
        <v>Johnson, Finn (404971)</v>
      </c>
      <c r="C52" t="str">
        <f>"Orchard Park, NY"</f>
        <v>Orchard Park, NY</v>
      </c>
      <c r="D52" s="1" t="str">
        <f>"97.2"</f>
        <v>97.2</v>
      </c>
      <c r="E52" s="1" t="str">
        <f>"100.8"</f>
        <v>100.8</v>
      </c>
      <c r="F52" s="1" t="str">
        <f>"95.4"</f>
        <v>95.4</v>
      </c>
      <c r="G52" s="1" t="str">
        <f>"100.1"</f>
        <v>100.1</v>
      </c>
      <c r="H52" s="1" t="str">
        <f>"96.3"</f>
        <v>96.3</v>
      </c>
      <c r="I52" s="1" t="str">
        <f>"99.3"</f>
        <v>99.3</v>
      </c>
      <c r="J52" s="1" t="str">
        <f>"589.1"</f>
        <v>589.1</v>
      </c>
    </row>
    <row r="53" spans="1:10" x14ac:dyDescent="0.25">
      <c r="A53">
        <v>48</v>
      </c>
      <c r="B53" t="str">
        <f>"Wall, Jackson (356331)"</f>
        <v>Wall, Jackson (356331)</v>
      </c>
      <c r="C53" t="str">
        <f>"Nazareth, PA"</f>
        <v>Nazareth, PA</v>
      </c>
      <c r="D53" s="1" t="str">
        <f>"102.0"</f>
        <v>102.0</v>
      </c>
      <c r="E53" s="1" t="str">
        <f>"97.8"</f>
        <v>97.8</v>
      </c>
      <c r="F53" s="1" t="str">
        <f>"98.0"</f>
        <v>98.0</v>
      </c>
      <c r="G53" s="1" t="str">
        <f>"98.0"</f>
        <v>98.0</v>
      </c>
      <c r="H53" s="1" t="str">
        <f>"97.8"</f>
        <v>97.8</v>
      </c>
      <c r="I53" s="1" t="str">
        <f>"95.3"</f>
        <v>95.3</v>
      </c>
      <c r="J53" s="1" t="str">
        <f>"588.9"</f>
        <v>588.9</v>
      </c>
    </row>
    <row r="54" spans="1:10" x14ac:dyDescent="0.25">
      <c r="A54">
        <v>49</v>
      </c>
      <c r="B54" t="str">
        <f>"Hooper, Mason (228221)"</f>
        <v>Hooper, Mason (228221)</v>
      </c>
      <c r="C54" t="str">
        <f>"Tionesta, PA"</f>
        <v>Tionesta, PA</v>
      </c>
      <c r="D54" s="1" t="str">
        <f>"99.0"</f>
        <v>99.0</v>
      </c>
      <c r="E54" s="1" t="str">
        <f>"99.1"</f>
        <v>99.1</v>
      </c>
      <c r="F54" s="1" t="str">
        <f>"97.9"</f>
        <v>97.9</v>
      </c>
      <c r="G54" s="1" t="str">
        <f>"98.1"</f>
        <v>98.1</v>
      </c>
      <c r="H54" s="1" t="str">
        <f>"96.5"</f>
        <v>96.5</v>
      </c>
      <c r="I54" s="1" t="str">
        <f>"94.4"</f>
        <v>94.4</v>
      </c>
      <c r="J54" s="1" t="str">
        <f>"585.0"</f>
        <v>585.0</v>
      </c>
    </row>
    <row r="55" spans="1:10" x14ac:dyDescent="0.25">
      <c r="A55">
        <v>50</v>
      </c>
      <c r="B55" t="str">
        <f>"Parziale, Brian (205160)"</f>
        <v>Parziale, Brian (205160)</v>
      </c>
      <c r="C55" t="str">
        <f>"Schaumburg, IL"</f>
        <v>Schaumburg, IL</v>
      </c>
      <c r="D55" s="1" t="str">
        <f>"92.4"</f>
        <v>92.4</v>
      </c>
      <c r="E55" s="1" t="str">
        <f>"96.6"</f>
        <v>96.6</v>
      </c>
      <c r="F55" s="1" t="str">
        <f>"100.5"</f>
        <v>100.5</v>
      </c>
      <c r="G55" s="1" t="str">
        <f>"98.1"</f>
        <v>98.1</v>
      </c>
      <c r="H55" s="1" t="str">
        <f>"97.6"</f>
        <v>97.6</v>
      </c>
      <c r="I55" s="1" t="str">
        <f>"96.6"</f>
        <v>96.6</v>
      </c>
      <c r="J55" s="1" t="str">
        <f>"581.8"</f>
        <v>581.8</v>
      </c>
    </row>
    <row r="56" spans="1:10" x14ac:dyDescent="0.25">
      <c r="A56">
        <v>51</v>
      </c>
      <c r="B56" t="str">
        <f>"Carter, Zach (372474)"</f>
        <v>Carter, Zach (372474)</v>
      </c>
      <c r="C56" t="str">
        <f>"Fort Wayne, IN"</f>
        <v>Fort Wayne, IN</v>
      </c>
      <c r="D56" s="1" t="str">
        <f>"94.2"</f>
        <v>94.2</v>
      </c>
      <c r="E56" s="1" t="str">
        <f>"92.8"</f>
        <v>92.8</v>
      </c>
      <c r="F56" s="1" t="str">
        <f>"96.2"</f>
        <v>96.2</v>
      </c>
      <c r="G56" s="1" t="str">
        <f>"95.8"</f>
        <v>95.8</v>
      </c>
      <c r="H56" s="1" t="str">
        <f>"97.6"</f>
        <v>97.6</v>
      </c>
      <c r="I56" s="1" t="str">
        <f>"99.6"</f>
        <v>99.6</v>
      </c>
      <c r="J56" s="1" t="str">
        <f>"576.2"</f>
        <v>576.2</v>
      </c>
    </row>
    <row r="57" spans="1:10" x14ac:dyDescent="0.25">
      <c r="A57">
        <v>52</v>
      </c>
      <c r="B57" t="str">
        <f>"Raba, Jason (388518)"</f>
        <v>Raba, Jason (388518)</v>
      </c>
      <c r="C57" t="str">
        <f>"Purcellville, VA"</f>
        <v>Purcellville, VA</v>
      </c>
      <c r="D57" s="1" t="str">
        <f>"95.8"</f>
        <v>95.8</v>
      </c>
      <c r="E57" s="1" t="str">
        <f>"95.1"</f>
        <v>95.1</v>
      </c>
      <c r="F57" s="1" t="str">
        <f>"98.6"</f>
        <v>98.6</v>
      </c>
      <c r="G57" s="1" t="str">
        <f>"91.5"</f>
        <v>91.5</v>
      </c>
      <c r="H57" s="1" t="str">
        <f>"98.9"</f>
        <v>98.9</v>
      </c>
      <c r="I57" s="1" t="str">
        <f>"93.4"</f>
        <v>93.4</v>
      </c>
      <c r="J57" s="1" t="str">
        <f>"573.3"</f>
        <v>573.3</v>
      </c>
    </row>
    <row r="58" spans="1:10" x14ac:dyDescent="0.25">
      <c r="A58">
        <v>53</v>
      </c>
      <c r="B58" t="str">
        <f>"Brenner, Zachary (Zack) (380723)"</f>
        <v>Brenner, Zachary (Zack) (380723)</v>
      </c>
      <c r="C58" t="str">
        <f>"Macungie , PA"</f>
        <v>Macungie , PA</v>
      </c>
      <c r="D58" s="1" t="str">
        <f>"94.5"</f>
        <v>94.5</v>
      </c>
      <c r="E58" s="1" t="str">
        <f>"97.3"</f>
        <v>97.3</v>
      </c>
      <c r="F58" s="1" t="str">
        <f>"94.1"</f>
        <v>94.1</v>
      </c>
      <c r="G58" s="1" t="str">
        <f>"94.3"</f>
        <v>94.3</v>
      </c>
      <c r="H58" s="1" t="str">
        <f>"96.2"</f>
        <v>96.2</v>
      </c>
      <c r="I58" s="1" t="str">
        <f>"96.5"</f>
        <v>96.5</v>
      </c>
      <c r="J58" s="1" t="str">
        <f>"572.9"</f>
        <v>572.9</v>
      </c>
    </row>
    <row r="59" spans="1:10" x14ac:dyDescent="0.25">
      <c r="A59">
        <v>54</v>
      </c>
      <c r="B59" t="str">
        <f>"Abzug, Noah (399850)"</f>
        <v>Abzug, Noah (399850)</v>
      </c>
      <c r="C59" t="str">
        <f>"Monkton, MD"</f>
        <v>Monkton, MD</v>
      </c>
      <c r="D59" s="1" t="str">
        <f>"94.9"</f>
        <v>94.9</v>
      </c>
      <c r="E59" s="1" t="str">
        <f>"95.8"</f>
        <v>95.8</v>
      </c>
      <c r="F59" s="1" t="str">
        <f>"94.2"</f>
        <v>94.2</v>
      </c>
      <c r="G59" s="1" t="str">
        <f>"98.1"</f>
        <v>98.1</v>
      </c>
      <c r="H59" s="1" t="str">
        <f>"92.4"</f>
        <v>92.4</v>
      </c>
      <c r="I59" s="1" t="str">
        <f>"96.4"</f>
        <v>96.4</v>
      </c>
      <c r="J59" s="1" t="str">
        <f>"571.8"</f>
        <v>571.8</v>
      </c>
    </row>
    <row r="60" spans="1:10" x14ac:dyDescent="0.25">
      <c r="A60">
        <v>55</v>
      </c>
      <c r="B60" t="str">
        <f>"Luk, Ethan (431823)"</f>
        <v>Luk, Ethan (431823)</v>
      </c>
      <c r="C60" t="str">
        <f>"Maple, ON"</f>
        <v>Maple, ON</v>
      </c>
      <c r="D60" s="1" t="str">
        <f>"95.3"</f>
        <v>95.3</v>
      </c>
      <c r="E60" s="1" t="str">
        <f>"91.8"</f>
        <v>91.8</v>
      </c>
      <c r="F60" s="1" t="str">
        <f>"95.0"</f>
        <v>95.0</v>
      </c>
      <c r="G60" s="1" t="str">
        <f>"95.9"</f>
        <v>95.9</v>
      </c>
      <c r="H60" s="1" t="str">
        <f>"92.2"</f>
        <v>92.2</v>
      </c>
      <c r="I60" s="1" t="str">
        <f>"96.0"</f>
        <v>96.0</v>
      </c>
      <c r="J60" s="1" t="str">
        <f>"566.2"</f>
        <v>566.2</v>
      </c>
    </row>
    <row r="61" spans="1:10" x14ac:dyDescent="0.25">
      <c r="A61">
        <v>56</v>
      </c>
      <c r="B61" t="str">
        <f>"Speck, Jon (234685)"</f>
        <v>Speck, Jon (234685)</v>
      </c>
      <c r="C61" t="str">
        <f>"Pleasant Prairie, WI"</f>
        <v>Pleasant Prairie, WI</v>
      </c>
      <c r="D61" s="1" t="str">
        <f>"92.2"</f>
        <v>92.2</v>
      </c>
      <c r="E61" s="1" t="str">
        <f>"85.6"</f>
        <v>85.6</v>
      </c>
      <c r="F61" s="1" t="str">
        <f>"93.3"</f>
        <v>93.3</v>
      </c>
      <c r="G61" s="1" t="str">
        <f>"88.7"</f>
        <v>88.7</v>
      </c>
      <c r="H61" s="1" t="str">
        <f>"90.5"</f>
        <v>90.5</v>
      </c>
      <c r="I61" s="1" t="str">
        <f>"97.3"</f>
        <v>97.3</v>
      </c>
      <c r="J61" s="1" t="str">
        <f>"547.6"</f>
        <v>547.6</v>
      </c>
    </row>
    <row r="62" spans="1:10" x14ac:dyDescent="0.25">
      <c r="A62">
        <v>57</v>
      </c>
      <c r="B62" t="str">
        <f>"Logan, Thomas (431756)"</f>
        <v>Logan, Thomas (431756)</v>
      </c>
      <c r="C62" t="str">
        <f>"St. Petersburg, FL"</f>
        <v>St. Petersburg, FL</v>
      </c>
      <c r="D62" s="1" t="str">
        <f>"89.4"</f>
        <v>89.4</v>
      </c>
      <c r="E62" s="1" t="str">
        <f>"87.3"</f>
        <v>87.3</v>
      </c>
      <c r="F62" s="1" t="str">
        <f>"91.2"</f>
        <v>91.2</v>
      </c>
      <c r="G62" s="1" t="str">
        <f>"86.7"</f>
        <v>86.7</v>
      </c>
      <c r="H62" s="1" t="str">
        <f>"96.5"</f>
        <v>96.5</v>
      </c>
      <c r="I62" s="1" t="str">
        <f>"86.8"</f>
        <v>86.8</v>
      </c>
      <c r="J62" s="1" t="str">
        <f>"537.9"</f>
        <v>537.9</v>
      </c>
    </row>
    <row r="63" spans="1:10" x14ac:dyDescent="0.25">
      <c r="A63">
        <v>58</v>
      </c>
      <c r="B63" t="str">
        <f>"Lake, Austin (380714)"</f>
        <v>Lake, Austin (380714)</v>
      </c>
      <c r="C63" t="str">
        <f>"Emmaus, PA"</f>
        <v>Emmaus, PA</v>
      </c>
      <c r="D63" s="1" t="str">
        <f>"90.4"</f>
        <v>90.4</v>
      </c>
      <c r="E63" s="1" t="str">
        <f>"83.8"</f>
        <v>83.8</v>
      </c>
      <c r="F63" s="1" t="str">
        <f>"88.2"</f>
        <v>88.2</v>
      </c>
      <c r="G63" s="1" t="str">
        <f>"87.9"</f>
        <v>87.9</v>
      </c>
      <c r="H63" s="1" t="str">
        <f>"89.1"</f>
        <v>89.1</v>
      </c>
      <c r="I63" s="1" t="str">
        <f>"92.4"</f>
        <v>92.4</v>
      </c>
      <c r="J63" s="1" t="str">
        <f>"531.8"</f>
        <v>531.8</v>
      </c>
    </row>
    <row r="64" spans="1:10" x14ac:dyDescent="0.25">
      <c r="A64">
        <v>59</v>
      </c>
      <c r="B64" t="str">
        <f>"Scott, Oliver (459945)"</f>
        <v>Scott, Oliver (459945)</v>
      </c>
      <c r="C64" t="str">
        <f>"Aurora, ON"</f>
        <v>Aurora, ON</v>
      </c>
      <c r="D64" s="1" t="str">
        <f>"78.2"</f>
        <v>78.2</v>
      </c>
      <c r="E64" s="1" t="str">
        <f>"90.1"</f>
        <v>90.1</v>
      </c>
      <c r="F64" s="1" t="str">
        <f>"89.8"</f>
        <v>89.8</v>
      </c>
      <c r="G64" s="1" t="str">
        <f>"84.3"</f>
        <v>84.3</v>
      </c>
      <c r="H64" s="1" t="str">
        <f>"90.7"</f>
        <v>90.7</v>
      </c>
      <c r="I64" s="1" t="str">
        <f>"87.6"</f>
        <v>87.6</v>
      </c>
      <c r="J64" s="1" t="str">
        <f>"520.7"</f>
        <v>520.7</v>
      </c>
    </row>
    <row r="65" spans="1:10" x14ac:dyDescent="0.25">
      <c r="A65">
        <v>60</v>
      </c>
      <c r="B65" t="str">
        <f>"Zhou, Tristan (431827)"</f>
        <v>Zhou, Tristan (431827)</v>
      </c>
      <c r="C65" t="str">
        <f>"New Market, ON"</f>
        <v>New Market, ON</v>
      </c>
      <c r="D65" s="1" t="str">
        <f>"81.3"</f>
        <v>81.3</v>
      </c>
      <c r="E65" s="1" t="str">
        <f>"88.3"</f>
        <v>88.3</v>
      </c>
      <c r="F65" s="1" t="str">
        <f>"94.7"</f>
        <v>94.7</v>
      </c>
      <c r="G65" s="1" t="str">
        <f>"89.3"</f>
        <v>89.3</v>
      </c>
      <c r="H65" s="1" t="str">
        <f>"74.6"</f>
        <v>74.6</v>
      </c>
      <c r="I65" s="1" t="str">
        <f>"89.8"</f>
        <v>89.8</v>
      </c>
      <c r="J65" s="1" t="str">
        <f>"518.0"</f>
        <v>518.0</v>
      </c>
    </row>
    <row r="66" spans="1:10" x14ac:dyDescent="0.25">
      <c r="A66">
        <v>61</v>
      </c>
      <c r="B66" t="str">
        <f>"Lee, Austin (459933)"</f>
        <v>Lee, Austin (459933)</v>
      </c>
      <c r="C66" t="str">
        <f>"Thornhill, ON"</f>
        <v>Thornhill, ON</v>
      </c>
      <c r="D66" s="1" t="str">
        <f>"78.0"</f>
        <v>78.0</v>
      </c>
      <c r="E66" s="1" t="str">
        <f>"79.6"</f>
        <v>79.6</v>
      </c>
      <c r="F66" s="1" t="str">
        <f>"79.9"</f>
        <v>79.9</v>
      </c>
      <c r="G66" s="1" t="str">
        <f>"78.0"</f>
        <v>78.0</v>
      </c>
      <c r="H66" s="1" t="str">
        <f>"81.4"</f>
        <v>81.4</v>
      </c>
      <c r="I66" s="1" t="str">
        <f>"78.1"</f>
        <v>78.1</v>
      </c>
      <c r="J66" s="1" t="str">
        <f>"475.0"</f>
        <v>475.0</v>
      </c>
    </row>
    <row r="67" spans="1:10" x14ac:dyDescent="0.25">
      <c r="A67">
        <v>62</v>
      </c>
      <c r="B67" t="str">
        <f>"Li, Leo (459935)"</f>
        <v>Li, Leo (459935)</v>
      </c>
      <c r="C67" t="str">
        <f>"Toronto, ON"</f>
        <v>Toronto, ON</v>
      </c>
      <c r="D67" s="1" t="str">
        <f>"73.8"</f>
        <v>73.8</v>
      </c>
      <c r="E67" s="1" t="str">
        <f>"80.4"</f>
        <v>80.4</v>
      </c>
      <c r="F67" s="1" t="str">
        <f>"72.9"</f>
        <v>72.9</v>
      </c>
      <c r="G67" s="1" t="str">
        <f>"75.2"</f>
        <v>75.2</v>
      </c>
      <c r="H67" s="1" t="str">
        <f>"69.7"</f>
        <v>69.7</v>
      </c>
      <c r="I67" s="1" t="str">
        <f>"78.5"</f>
        <v>78.5</v>
      </c>
      <c r="J67" s="1" t="str">
        <f>"450.5"</f>
        <v>450.5</v>
      </c>
    </row>
    <row r="68" spans="1:10" x14ac:dyDescent="0.25">
      <c r="A68">
        <v>63</v>
      </c>
      <c r="B68" t="str">
        <f>"Yuan, Justin (459946)"</f>
        <v>Yuan, Justin (459946)</v>
      </c>
      <c r="C68" t="str">
        <f>"Aurora, ON"</f>
        <v>Aurora, ON</v>
      </c>
      <c r="D68" s="1" t="str">
        <f>"47.1"</f>
        <v>47.1</v>
      </c>
      <c r="E68" s="1" t="str">
        <f>"35.3"</f>
        <v>35.3</v>
      </c>
      <c r="F68" s="1" t="str">
        <f>"36.8"</f>
        <v>36.8</v>
      </c>
      <c r="G68" s="1" t="str">
        <f>"40.0"</f>
        <v>40.0</v>
      </c>
      <c r="H68" s="1" t="str">
        <f>"56.5"</f>
        <v>56.5</v>
      </c>
      <c r="I68" s="1" t="str">
        <f>"58.2"</f>
        <v>58.2</v>
      </c>
      <c r="J68" s="1" t="str">
        <f>"273.9"</f>
        <v>273.9</v>
      </c>
    </row>
    <row r="69" spans="1:10" x14ac:dyDescent="0.25">
      <c r="A69">
        <v>64</v>
      </c>
      <c r="B69" t="str">
        <f>"Clark, Finn (459672)"</f>
        <v>Clark, Finn (459672)</v>
      </c>
      <c r="C69" t="str">
        <f>"Maple, ON"</f>
        <v>Maple, ON</v>
      </c>
      <c r="D69" s="1" t="str">
        <f>"24.8"</f>
        <v>24.8</v>
      </c>
      <c r="E69" s="1" t="str">
        <f>"46.7"</f>
        <v>46.7</v>
      </c>
      <c r="F69" s="1" t="str">
        <f>"31.8"</f>
        <v>31.8</v>
      </c>
      <c r="G69" s="1" t="str">
        <f>"44.7"</f>
        <v>44.7</v>
      </c>
      <c r="H69" s="1" t="str">
        <f>"21.3"</f>
        <v>21.3</v>
      </c>
      <c r="I69" s="1" t="str">
        <f>"17.3"</f>
        <v>17.3</v>
      </c>
      <c r="J69" s="1" t="str">
        <f>"186.6"</f>
        <v>186.6</v>
      </c>
    </row>
  </sheetData>
  <sortState ref="A142:L201">
    <sortCondition ref="A142:A20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activeCell="G9" sqref="G9"/>
    </sheetView>
  </sheetViews>
  <sheetFormatPr defaultRowHeight="15" x14ac:dyDescent="0.25"/>
  <cols>
    <col min="1" max="1" width="24" bestFit="1" customWidth="1"/>
    <col min="2" max="2" width="33.28515625" bestFit="1" customWidth="1"/>
    <col min="3" max="3" width="20.5703125" bestFit="1" customWidth="1"/>
    <col min="4" max="10" width="5.5703125" bestFit="1" customWidth="1"/>
  </cols>
  <sheetData>
    <row r="1" spans="1:11" x14ac:dyDescent="0.25">
      <c r="A1" t="str">
        <f>"2023 USAS Winter Air Gun"</f>
        <v>2023 USAS Winter Air Gun</v>
      </c>
      <c r="E1" s="1"/>
      <c r="F1" s="1"/>
      <c r="G1" s="1"/>
      <c r="H1" s="1"/>
      <c r="I1" s="1"/>
      <c r="J1" s="1"/>
      <c r="K1" s="1"/>
    </row>
    <row r="2" spans="1:11" x14ac:dyDescent="0.25">
      <c r="A2" t="s">
        <v>3</v>
      </c>
      <c r="E2" s="1"/>
      <c r="F2" s="1"/>
      <c r="G2" s="1"/>
      <c r="H2" s="1"/>
      <c r="I2" s="1"/>
      <c r="J2" s="1"/>
      <c r="K2" s="1"/>
    </row>
    <row r="3" spans="1:11" x14ac:dyDescent="0.25">
      <c r="A3" t="str">
        <f>""</f>
        <v/>
      </c>
      <c r="E3" s="1"/>
      <c r="F3" s="1"/>
      <c r="G3" s="1"/>
      <c r="H3" s="1"/>
      <c r="I3" s="1"/>
      <c r="J3" s="1"/>
      <c r="K3" s="1"/>
    </row>
    <row r="4" spans="1:11" x14ac:dyDescent="0.25">
      <c r="A4" t="str">
        <f>"Place"</f>
        <v>Place</v>
      </c>
      <c r="B4" t="str">
        <f>"Competitor (Comp Num)"</f>
        <v>Competitor (Comp Num)</v>
      </c>
      <c r="C4" t="str">
        <f>"Hometown"</f>
        <v>Hometown</v>
      </c>
      <c r="D4" s="1">
        <v>1</v>
      </c>
      <c r="E4" s="1">
        <v>2</v>
      </c>
      <c r="F4" s="1">
        <v>3</v>
      </c>
      <c r="G4" s="1">
        <v>4</v>
      </c>
      <c r="H4" s="1">
        <v>5</v>
      </c>
      <c r="I4" s="1">
        <v>6</v>
      </c>
      <c r="J4" s="1" t="str">
        <f>"Total"</f>
        <v>Total</v>
      </c>
    </row>
    <row r="5" spans="1:11" x14ac:dyDescent="0.25">
      <c r="A5" t="str">
        <f>"Women's - 10m Air Rifle"</f>
        <v>Women's - 10m Air Rifle</v>
      </c>
      <c r="D5" s="1"/>
      <c r="E5" s="1"/>
      <c r="F5" s="1"/>
      <c r="G5" s="1"/>
      <c r="H5" s="1"/>
      <c r="I5" s="1"/>
      <c r="J5" s="1"/>
    </row>
    <row r="6" spans="1:11" x14ac:dyDescent="0.25">
      <c r="A6">
        <v>1</v>
      </c>
      <c r="B6" t="str">
        <f>"Blake, Ashlyn (408788)"</f>
        <v>Blake, Ashlyn (408788)</v>
      </c>
      <c r="C6" t="str">
        <f>"Sparta, NJ"</f>
        <v>Sparta, NJ</v>
      </c>
      <c r="D6" s="1" t="str">
        <f>"103.9"</f>
        <v>103.9</v>
      </c>
      <c r="E6" s="1" t="str">
        <f>"102.7"</f>
        <v>102.7</v>
      </c>
      <c r="F6" s="1" t="str">
        <f>"103.8"</f>
        <v>103.8</v>
      </c>
      <c r="G6" s="1" t="str">
        <f>"104.7"</f>
        <v>104.7</v>
      </c>
      <c r="H6" s="1" t="str">
        <f>"103.7"</f>
        <v>103.7</v>
      </c>
      <c r="I6" s="1" t="str">
        <f>"104.7"</f>
        <v>104.7</v>
      </c>
      <c r="J6" s="1" t="str">
        <f>"623.5"</f>
        <v>623.5</v>
      </c>
    </row>
    <row r="7" spans="1:11" x14ac:dyDescent="0.25">
      <c r="A7">
        <v>2</v>
      </c>
      <c r="B7" t="str">
        <f>"Kelly, Alana (168868)"</f>
        <v>Kelly, Alana (168868)</v>
      </c>
      <c r="C7" t="str">
        <f>"Acworth, GA"</f>
        <v>Acworth, GA</v>
      </c>
      <c r="D7" s="1" t="str">
        <f>"103.7"</f>
        <v>103.7</v>
      </c>
      <c r="E7" s="1" t="str">
        <f>"104.1"</f>
        <v>104.1</v>
      </c>
      <c r="F7" s="1" t="str">
        <f>"104.5"</f>
        <v>104.5</v>
      </c>
      <c r="G7" s="1" t="str">
        <f>"102.9"</f>
        <v>102.9</v>
      </c>
      <c r="H7" s="1" t="str">
        <f>"105.3"</f>
        <v>105.3</v>
      </c>
      <c r="I7" s="1" t="str">
        <f>"102.8"</f>
        <v>102.8</v>
      </c>
      <c r="J7" s="1" t="str">
        <f>"623.3"</f>
        <v>623.3</v>
      </c>
    </row>
    <row r="8" spans="1:11" x14ac:dyDescent="0.25">
      <c r="A8">
        <v>3</v>
      </c>
      <c r="B8" t="str">
        <f>"Hollowell, Elizabeth (245044)"</f>
        <v>Hollowell, Elizabeth (245044)</v>
      </c>
      <c r="C8" t="str">
        <f>"King George, VA"</f>
        <v>King George, VA</v>
      </c>
      <c r="D8" s="1" t="str">
        <f>"105.8"</f>
        <v>105.8</v>
      </c>
      <c r="E8" s="1" t="str">
        <f>"103.0"</f>
        <v>103.0</v>
      </c>
      <c r="F8" s="1" t="str">
        <f>"103.3"</f>
        <v>103.3</v>
      </c>
      <c r="G8" s="1" t="str">
        <f>"105.2"</f>
        <v>105.2</v>
      </c>
      <c r="H8" s="1" t="str">
        <f>"103.9"</f>
        <v>103.9</v>
      </c>
      <c r="I8" s="1" t="str">
        <f>"100.2"</f>
        <v>100.2</v>
      </c>
      <c r="J8" s="1" t="str">
        <f>"621.4"</f>
        <v>621.4</v>
      </c>
    </row>
    <row r="9" spans="1:11" x14ac:dyDescent="0.25">
      <c r="A9">
        <v>4</v>
      </c>
      <c r="B9" t="str">
        <f>"Bodrogi, Alexa  (406163)"</f>
        <v>Bodrogi, Alexa  (406163)</v>
      </c>
      <c r="C9" t="str">
        <f>"Bridgewater, NJ"</f>
        <v>Bridgewater, NJ</v>
      </c>
      <c r="D9" s="1" t="str">
        <f>"103.6"</f>
        <v>103.6</v>
      </c>
      <c r="E9" s="1" t="str">
        <f>"104.8"</f>
        <v>104.8</v>
      </c>
      <c r="F9" s="1" t="str">
        <f>"101.2"</f>
        <v>101.2</v>
      </c>
      <c r="G9" s="1" t="str">
        <f>"104.3"</f>
        <v>104.3</v>
      </c>
      <c r="H9" s="1" t="str">
        <f>"102.7"</f>
        <v>102.7</v>
      </c>
      <c r="I9" s="1" t="str">
        <f>"104.6"</f>
        <v>104.6</v>
      </c>
      <c r="J9" s="1" t="str">
        <f>"621.2"</f>
        <v>621.2</v>
      </c>
    </row>
    <row r="10" spans="1:11" x14ac:dyDescent="0.25">
      <c r="A10">
        <v>5</v>
      </c>
      <c r="B10" t="str">
        <f>"Corbett, Grace (370517)"</f>
        <v>Corbett, Grace (370517)</v>
      </c>
      <c r="C10" t="str">
        <f>"Springfield, VA"</f>
        <v>Springfield, VA</v>
      </c>
      <c r="D10" s="1" t="str">
        <f>"103.6"</f>
        <v>103.6</v>
      </c>
      <c r="E10" s="1" t="str">
        <f>"105.0"</f>
        <v>105.0</v>
      </c>
      <c r="F10" s="1" t="str">
        <f>"103.6"</f>
        <v>103.6</v>
      </c>
      <c r="G10" s="1" t="str">
        <f>"103.4"</f>
        <v>103.4</v>
      </c>
      <c r="H10" s="1" t="str">
        <f>"102.1"</f>
        <v>102.1</v>
      </c>
      <c r="I10" s="1" t="str">
        <f>"102.9"</f>
        <v>102.9</v>
      </c>
      <c r="J10" s="1" t="str">
        <f>"620.6"</f>
        <v>620.6</v>
      </c>
    </row>
    <row r="11" spans="1:11" x14ac:dyDescent="0.25">
      <c r="A11">
        <v>6</v>
      </c>
      <c r="B11" t="str">
        <f>"Mercado Martinez, Yarimar (400422)"</f>
        <v>Mercado Martinez, Yarimar (400422)</v>
      </c>
      <c r="C11" t="str">
        <f>"Yauco, PR"</f>
        <v>Yauco, PR</v>
      </c>
      <c r="D11" s="1" t="str">
        <f>"102.5"</f>
        <v>102.5</v>
      </c>
      <c r="E11" s="1" t="str">
        <f>"104.2"</f>
        <v>104.2</v>
      </c>
      <c r="F11" s="1" t="str">
        <f>"104.1"</f>
        <v>104.1</v>
      </c>
      <c r="G11" s="1" t="str">
        <f>"104.6"</f>
        <v>104.6</v>
      </c>
      <c r="H11" s="1" t="str">
        <f>"100.9"</f>
        <v>100.9</v>
      </c>
      <c r="I11" s="1" t="str">
        <f>"103.9"</f>
        <v>103.9</v>
      </c>
      <c r="J11" s="1" t="str">
        <f>"620.2"</f>
        <v>620.2</v>
      </c>
    </row>
    <row r="12" spans="1:11" x14ac:dyDescent="0.25">
      <c r="A12">
        <v>7</v>
      </c>
      <c r="B12" t="str">
        <f>"Ewton, Kenlee (314796)"</f>
        <v>Ewton, Kenlee (314796)</v>
      </c>
      <c r="C12" t="str">
        <f>"Soddy Daisy, TN"</f>
        <v>Soddy Daisy, TN</v>
      </c>
      <c r="D12" s="1" t="str">
        <f>"102.8"</f>
        <v>102.8</v>
      </c>
      <c r="E12" s="1" t="str">
        <f>"102.2"</f>
        <v>102.2</v>
      </c>
      <c r="F12" s="1" t="str">
        <f>"102.3"</f>
        <v>102.3</v>
      </c>
      <c r="G12" s="1" t="str">
        <f>"105.5"</f>
        <v>105.5</v>
      </c>
      <c r="H12" s="1" t="str">
        <f>"103.9"</f>
        <v>103.9</v>
      </c>
      <c r="I12" s="1" t="str">
        <f>"103.2"</f>
        <v>103.2</v>
      </c>
      <c r="J12" s="1" t="str">
        <f>"619.9"</f>
        <v>619.9</v>
      </c>
    </row>
    <row r="13" spans="1:11" x14ac:dyDescent="0.25">
      <c r="A13">
        <v>8</v>
      </c>
      <c r="B13" t="str">
        <f>"Wytko, Lily (322167)"</f>
        <v>Wytko, Lily (322167)</v>
      </c>
      <c r="C13" t="str">
        <f>"Elkridge, MD"</f>
        <v>Elkridge, MD</v>
      </c>
      <c r="D13" s="1" t="str">
        <f>"103.4"</f>
        <v>103.4</v>
      </c>
      <c r="E13" s="1" t="str">
        <f>"104.7"</f>
        <v>104.7</v>
      </c>
      <c r="F13" s="1" t="str">
        <f>"102.0"</f>
        <v>102.0</v>
      </c>
      <c r="G13" s="1" t="str">
        <f>"102.9"</f>
        <v>102.9</v>
      </c>
      <c r="H13" s="1" t="str">
        <f>"104.1"</f>
        <v>104.1</v>
      </c>
      <c r="I13" s="1" t="str">
        <f>"102.3"</f>
        <v>102.3</v>
      </c>
      <c r="J13" s="1" t="str">
        <f>"619.4"</f>
        <v>619.4</v>
      </c>
    </row>
    <row r="14" spans="1:11" x14ac:dyDescent="0.25">
      <c r="A14">
        <v>9</v>
      </c>
      <c r="B14" t="str">
        <f>"Palfrey, Sadie (385219)"</f>
        <v>Palfrey, Sadie (385219)</v>
      </c>
      <c r="C14" t="str">
        <f>"Indiana, PA"</f>
        <v>Indiana, PA</v>
      </c>
      <c r="D14" s="1" t="str">
        <f>"100.5"</f>
        <v>100.5</v>
      </c>
      <c r="E14" s="1" t="str">
        <f>"104.1"</f>
        <v>104.1</v>
      </c>
      <c r="F14" s="1" t="str">
        <f>"102.3"</f>
        <v>102.3</v>
      </c>
      <c r="G14" s="1" t="str">
        <f>"103.7"</f>
        <v>103.7</v>
      </c>
      <c r="H14" s="1" t="str">
        <f>"104.1"</f>
        <v>104.1</v>
      </c>
      <c r="I14" s="1" t="str">
        <f>"103.2"</f>
        <v>103.2</v>
      </c>
      <c r="J14" s="1" t="str">
        <f>"617.9"</f>
        <v>617.9</v>
      </c>
    </row>
    <row r="15" spans="1:11" x14ac:dyDescent="0.25">
      <c r="A15">
        <v>10</v>
      </c>
      <c r="B15" t="str">
        <f>"Sprague, Gabriella (231282)"</f>
        <v>Sprague, Gabriella (231282)</v>
      </c>
      <c r="C15" t="str">
        <f>"Falls Creek, PA"</f>
        <v>Falls Creek, PA</v>
      </c>
      <c r="D15" s="1" t="str">
        <f>"102.5"</f>
        <v>102.5</v>
      </c>
      <c r="E15" s="1" t="str">
        <f>"102.6"</f>
        <v>102.6</v>
      </c>
      <c r="F15" s="1" t="str">
        <f>"103.6"</f>
        <v>103.6</v>
      </c>
      <c r="G15" s="1" t="str">
        <f>"102.7"</f>
        <v>102.7</v>
      </c>
      <c r="H15" s="1" t="str">
        <f>"105.0"</f>
        <v>105.0</v>
      </c>
      <c r="I15" s="1" t="str">
        <f>"100.1"</f>
        <v>100.1</v>
      </c>
      <c r="J15" s="1" t="str">
        <f>"616.5"</f>
        <v>616.5</v>
      </c>
    </row>
    <row r="16" spans="1:11" x14ac:dyDescent="0.25">
      <c r="A16">
        <v>11</v>
      </c>
      <c r="B16" t="str">
        <f>"Siek, Natalia  (377610)"</f>
        <v>Siek, Natalia  (377610)</v>
      </c>
      <c r="C16" t="str">
        <f>"Flemington, NJ"</f>
        <v>Flemington, NJ</v>
      </c>
      <c r="D16" s="1" t="str">
        <f>"102.9"</f>
        <v>102.9</v>
      </c>
      <c r="E16" s="1" t="str">
        <f>"103.0"</f>
        <v>103.0</v>
      </c>
      <c r="F16" s="1" t="str">
        <f>"101.4"</f>
        <v>101.4</v>
      </c>
      <c r="G16" s="1" t="str">
        <f>"103.2"</f>
        <v>103.2</v>
      </c>
      <c r="H16" s="1" t="str">
        <f>"102.7"</f>
        <v>102.7</v>
      </c>
      <c r="I16" s="1" t="str">
        <f>"103.2"</f>
        <v>103.2</v>
      </c>
      <c r="J16" s="1" t="str">
        <f>"616.4"</f>
        <v>616.4</v>
      </c>
    </row>
    <row r="17" spans="1:10" x14ac:dyDescent="0.25">
      <c r="A17">
        <v>12</v>
      </c>
      <c r="B17" t="str">
        <f>"Blackman, Lillian (389896)"</f>
        <v>Blackman, Lillian (389896)</v>
      </c>
      <c r="C17" t="str">
        <f>"Fort Wayne, IN"</f>
        <v>Fort Wayne, IN</v>
      </c>
      <c r="D17" s="1" t="str">
        <f>"104.0"</f>
        <v>104.0</v>
      </c>
      <c r="E17" s="1" t="str">
        <f>"103.4"</f>
        <v>103.4</v>
      </c>
      <c r="F17" s="1" t="str">
        <f>"101.6"</f>
        <v>101.6</v>
      </c>
      <c r="G17" s="1" t="str">
        <f>"102.4"</f>
        <v>102.4</v>
      </c>
      <c r="H17" s="1" t="str">
        <f>"102.6"</f>
        <v>102.6</v>
      </c>
      <c r="I17" s="1" t="str">
        <f>"101.4"</f>
        <v>101.4</v>
      </c>
      <c r="J17" s="1" t="str">
        <f>"615.4"</f>
        <v>615.4</v>
      </c>
    </row>
    <row r="18" spans="1:10" x14ac:dyDescent="0.25">
      <c r="A18">
        <v>13</v>
      </c>
      <c r="B18" t="str">
        <f>"Perkins, Alivia (355166)"</f>
        <v>Perkins, Alivia (355166)</v>
      </c>
      <c r="C18" t="str">
        <f>"Fort Wayne, IN"</f>
        <v>Fort Wayne, IN</v>
      </c>
      <c r="D18" s="1" t="str">
        <f>"101.0"</f>
        <v>101.0</v>
      </c>
      <c r="E18" s="1" t="str">
        <f>"102.4"</f>
        <v>102.4</v>
      </c>
      <c r="F18" s="1" t="str">
        <f>"103.1"</f>
        <v>103.1</v>
      </c>
      <c r="G18" s="1" t="str">
        <f>"102.3"</f>
        <v>102.3</v>
      </c>
      <c r="H18" s="1" t="str">
        <f>"102.6"</f>
        <v>102.6</v>
      </c>
      <c r="I18" s="1" t="str">
        <f>"103.2"</f>
        <v>103.2</v>
      </c>
      <c r="J18" s="1" t="str">
        <f>"614.6"</f>
        <v>614.6</v>
      </c>
    </row>
    <row r="19" spans="1:10" x14ac:dyDescent="0.25">
      <c r="A19">
        <v>14</v>
      </c>
      <c r="B19" t="str">
        <f>"Yang, Emily (447254)"</f>
        <v>Yang, Emily (447254)</v>
      </c>
      <c r="C19" t="str">
        <f>"Maple, ONT"</f>
        <v>Maple, ONT</v>
      </c>
      <c r="D19" s="1" t="str">
        <f>"102.0"</f>
        <v>102.0</v>
      </c>
      <c r="E19" s="1" t="str">
        <f>"103.2"</f>
        <v>103.2</v>
      </c>
      <c r="F19" s="1" t="str">
        <f>"102.4"</f>
        <v>102.4</v>
      </c>
      <c r="G19" s="1" t="str">
        <f>"102.5"</f>
        <v>102.5</v>
      </c>
      <c r="H19" s="1" t="str">
        <f>"102.7"</f>
        <v>102.7</v>
      </c>
      <c r="I19" s="1" t="str">
        <f>"101.8"</f>
        <v>101.8</v>
      </c>
      <c r="J19" s="1" t="str">
        <f>"614.6"</f>
        <v>614.6</v>
      </c>
    </row>
    <row r="20" spans="1:10" x14ac:dyDescent="0.25">
      <c r="A20">
        <v>15</v>
      </c>
      <c r="B20" t="str">
        <f>"Dunn, Riley (361077)"</f>
        <v>Dunn, Riley (361077)</v>
      </c>
      <c r="C20" t="str">
        <f>"Washington , PA"</f>
        <v>Washington , PA</v>
      </c>
      <c r="D20" s="1" t="str">
        <f>"101.2"</f>
        <v>101.2</v>
      </c>
      <c r="E20" s="1" t="str">
        <f>"102.5"</f>
        <v>102.5</v>
      </c>
      <c r="F20" s="1" t="str">
        <f>"100.7"</f>
        <v>100.7</v>
      </c>
      <c r="G20" s="1" t="str">
        <f>"102.1"</f>
        <v>102.1</v>
      </c>
      <c r="H20" s="1" t="str">
        <f>"103.6"</f>
        <v>103.6</v>
      </c>
      <c r="I20" s="1" t="str">
        <f>"103.9"</f>
        <v>103.9</v>
      </c>
      <c r="J20" s="1" t="str">
        <f>"614.0"</f>
        <v>614.0</v>
      </c>
    </row>
    <row r="21" spans="1:10" x14ac:dyDescent="0.25">
      <c r="A21">
        <v>16</v>
      </c>
      <c r="B21" t="str">
        <f>"Cartagena, Cristina (400407)"</f>
        <v>Cartagena, Cristina (400407)</v>
      </c>
      <c r="C21" t="str">
        <f>"Santa Isabel, PR"</f>
        <v>Santa Isabel, PR</v>
      </c>
      <c r="D21" s="1" t="str">
        <f>"102.2"</f>
        <v>102.2</v>
      </c>
      <c r="E21" s="1" t="str">
        <f>"102.8"</f>
        <v>102.8</v>
      </c>
      <c r="F21" s="1" t="str">
        <f>"103.6"</f>
        <v>103.6</v>
      </c>
      <c r="G21" s="1" t="str">
        <f>"100.0"</f>
        <v>100.0</v>
      </c>
      <c r="H21" s="1" t="str">
        <f>"101.7"</f>
        <v>101.7</v>
      </c>
      <c r="I21" s="1" t="str">
        <f>"103.4"</f>
        <v>103.4</v>
      </c>
      <c r="J21" s="1" t="str">
        <f>"613.7"</f>
        <v>613.7</v>
      </c>
    </row>
    <row r="22" spans="1:10" x14ac:dyDescent="0.25">
      <c r="A22">
        <v>17</v>
      </c>
      <c r="B22" t="str">
        <f>"Butt, Emma (267360)"</f>
        <v>Butt, Emma (267360)</v>
      </c>
      <c r="C22" t="str">
        <f>"Franklin, MA"</f>
        <v>Franklin, MA</v>
      </c>
      <c r="D22" s="1" t="str">
        <f>"104.1"</f>
        <v>104.1</v>
      </c>
      <c r="E22" s="1" t="str">
        <f>"100.0"</f>
        <v>100.0</v>
      </c>
      <c r="F22" s="1" t="str">
        <f>"101.8"</f>
        <v>101.8</v>
      </c>
      <c r="G22" s="1" t="str">
        <f>"104.5"</f>
        <v>104.5</v>
      </c>
      <c r="H22" s="1" t="str">
        <f>"101.4"</f>
        <v>101.4</v>
      </c>
      <c r="I22" s="1" t="str">
        <f>"101.9"</f>
        <v>101.9</v>
      </c>
      <c r="J22" s="1" t="str">
        <f>"613.7"</f>
        <v>613.7</v>
      </c>
    </row>
    <row r="23" spans="1:10" x14ac:dyDescent="0.25">
      <c r="A23">
        <v>18</v>
      </c>
      <c r="B23" t="str">
        <f>"Koenig, Victoria (335759)"</f>
        <v>Koenig, Victoria (335759)</v>
      </c>
      <c r="C23" t="str">
        <f>"Yorktown, VA"</f>
        <v>Yorktown, VA</v>
      </c>
      <c r="D23" s="1" t="str">
        <f>"102.8"</f>
        <v>102.8</v>
      </c>
      <c r="E23" s="1" t="str">
        <f>"99.7"</f>
        <v>99.7</v>
      </c>
      <c r="F23" s="1" t="str">
        <f>"103.1"</f>
        <v>103.1</v>
      </c>
      <c r="G23" s="1" t="str">
        <f>"102.2"</f>
        <v>102.2</v>
      </c>
      <c r="H23" s="1" t="str">
        <f>"101.9"</f>
        <v>101.9</v>
      </c>
      <c r="I23" s="1" t="str">
        <f>"103.7"</f>
        <v>103.7</v>
      </c>
      <c r="J23" s="1" t="str">
        <f>"613.4"</f>
        <v>613.4</v>
      </c>
    </row>
    <row r="24" spans="1:10" x14ac:dyDescent="0.25">
      <c r="A24">
        <v>19</v>
      </c>
      <c r="B24" t="str">
        <f>"Moriarty, Shannon (319315)"</f>
        <v>Moriarty, Shannon (319315)</v>
      </c>
      <c r="C24" t="str">
        <f>"Great Mills, MD"</f>
        <v>Great Mills, MD</v>
      </c>
      <c r="D24" s="1" t="str">
        <f>"103.1"</f>
        <v>103.1</v>
      </c>
      <c r="E24" s="1" t="str">
        <f>"101.5"</f>
        <v>101.5</v>
      </c>
      <c r="F24" s="1" t="str">
        <f>"102.8"</f>
        <v>102.8</v>
      </c>
      <c r="G24" s="1" t="str">
        <f>"101.4"</f>
        <v>101.4</v>
      </c>
      <c r="H24" s="1" t="str">
        <f>"101.1"</f>
        <v>101.1</v>
      </c>
      <c r="I24" s="1" t="str">
        <f>"102.5"</f>
        <v>102.5</v>
      </c>
      <c r="J24" s="1" t="str">
        <f>"612.4"</f>
        <v>612.4</v>
      </c>
    </row>
    <row r="25" spans="1:10" x14ac:dyDescent="0.25">
      <c r="A25">
        <v>20</v>
      </c>
      <c r="B25" t="str">
        <f>"Johnson, Mallory (337879)"</f>
        <v>Johnson, Mallory (337879)</v>
      </c>
      <c r="C25" t="str">
        <f>"Cookeville, TN"</f>
        <v>Cookeville, TN</v>
      </c>
      <c r="D25" s="1" t="str">
        <f>"104.3"</f>
        <v>104.3</v>
      </c>
      <c r="E25" s="1" t="str">
        <f>"101.6"</f>
        <v>101.6</v>
      </c>
      <c r="F25" s="1" t="str">
        <f>"102.8"</f>
        <v>102.8</v>
      </c>
      <c r="G25" s="1" t="str">
        <f>"97.8"</f>
        <v>97.8</v>
      </c>
      <c r="H25" s="1" t="str">
        <f>"101.7"</f>
        <v>101.7</v>
      </c>
      <c r="I25" s="1" t="str">
        <f>"103.9"</f>
        <v>103.9</v>
      </c>
      <c r="J25" s="1" t="str">
        <f>"612.1"</f>
        <v>612.1</v>
      </c>
    </row>
    <row r="26" spans="1:10" x14ac:dyDescent="0.25">
      <c r="A26">
        <v>21</v>
      </c>
      <c r="B26" t="str">
        <f>"Muzik, Delilah (341669)"</f>
        <v>Muzik, Delilah (341669)</v>
      </c>
      <c r="C26" t="str">
        <f>"Green Springs, OH"</f>
        <v>Green Springs, OH</v>
      </c>
      <c r="D26" s="1" t="str">
        <f>"102.3"</f>
        <v>102.3</v>
      </c>
      <c r="E26" s="1" t="str">
        <f>"99.3"</f>
        <v>99.3</v>
      </c>
      <c r="F26" s="1" t="str">
        <f>"102.4"</f>
        <v>102.4</v>
      </c>
      <c r="G26" s="1" t="str">
        <f>"102.2"</f>
        <v>102.2</v>
      </c>
      <c r="H26" s="1" t="str">
        <f>"102.6"</f>
        <v>102.6</v>
      </c>
      <c r="I26" s="1" t="str">
        <f>"103.2"</f>
        <v>103.2</v>
      </c>
      <c r="J26" s="1" t="str">
        <f>"612.0"</f>
        <v>612.0</v>
      </c>
    </row>
    <row r="27" spans="1:10" x14ac:dyDescent="0.25">
      <c r="A27">
        <v>22</v>
      </c>
      <c r="B27" t="str">
        <f>"Luk, Cindy (189911)"</f>
        <v>Luk, Cindy (189911)</v>
      </c>
      <c r="C27" t="str">
        <f>"Maple, ONT"</f>
        <v>Maple, ONT</v>
      </c>
      <c r="D27" s="1" t="str">
        <f>"101.9"</f>
        <v>101.9</v>
      </c>
      <c r="E27" s="1" t="str">
        <f>"101.0"</f>
        <v>101.0</v>
      </c>
      <c r="F27" s="1" t="str">
        <f>"103.8"</f>
        <v>103.8</v>
      </c>
      <c r="G27" s="1" t="str">
        <f>"102.2"</f>
        <v>102.2</v>
      </c>
      <c r="H27" s="1" t="str">
        <f>"101.4"</f>
        <v>101.4</v>
      </c>
      <c r="I27" s="1" t="str">
        <f>"100.9"</f>
        <v>100.9</v>
      </c>
      <c r="J27" s="1" t="str">
        <f>"611.2"</f>
        <v>611.2</v>
      </c>
    </row>
    <row r="28" spans="1:10" x14ac:dyDescent="0.25">
      <c r="A28">
        <v>23</v>
      </c>
      <c r="B28" t="str">
        <f>"Valenta, Carlee (339877)"</f>
        <v>Valenta, Carlee (339877)</v>
      </c>
      <c r="C28" t="str">
        <f>"HARRISON CITY, PA"</f>
        <v>HARRISON CITY, PA</v>
      </c>
      <c r="D28" s="1" t="str">
        <f>"99.1"</f>
        <v>99.1</v>
      </c>
      <c r="E28" s="1" t="str">
        <f>"103.9"</f>
        <v>103.9</v>
      </c>
      <c r="F28" s="1" t="str">
        <f>"104.7"</f>
        <v>104.7</v>
      </c>
      <c r="G28" s="1" t="str">
        <f>"102.6"</f>
        <v>102.6</v>
      </c>
      <c r="H28" s="1" t="str">
        <f>"100.0"</f>
        <v>100.0</v>
      </c>
      <c r="I28" s="1" t="str">
        <f>"100.8"</f>
        <v>100.8</v>
      </c>
      <c r="J28" s="1" t="str">
        <f>"611.1"</f>
        <v>611.1</v>
      </c>
    </row>
    <row r="29" spans="1:10" x14ac:dyDescent="0.25">
      <c r="A29">
        <v>24</v>
      </c>
      <c r="B29" t="str">
        <f>"Singleton, Hailey (346661)"</f>
        <v>Singleton, Hailey (346661)</v>
      </c>
      <c r="C29" t="str">
        <f>"Bellevue, OH"</f>
        <v>Bellevue, OH</v>
      </c>
      <c r="D29" s="1" t="str">
        <f>"102.3"</f>
        <v>102.3</v>
      </c>
      <c r="E29" s="1" t="str">
        <f>"102.1"</f>
        <v>102.1</v>
      </c>
      <c r="F29" s="1" t="str">
        <f>"101.5"</f>
        <v>101.5</v>
      </c>
      <c r="G29" s="1" t="str">
        <f>"98.8"</f>
        <v>98.8</v>
      </c>
      <c r="H29" s="1" t="str">
        <f>"103.4"</f>
        <v>103.4</v>
      </c>
      <c r="I29" s="1" t="str">
        <f>"102.9"</f>
        <v>102.9</v>
      </c>
      <c r="J29" s="1" t="str">
        <f>"611.0"</f>
        <v>611.0</v>
      </c>
    </row>
    <row r="30" spans="1:10" x14ac:dyDescent="0.25">
      <c r="A30">
        <v>25</v>
      </c>
      <c r="B30" t="str">
        <f>"Forgues, Barbara (401960)"</f>
        <v>Forgues, Barbara (401960)</v>
      </c>
      <c r="C30" t="str">
        <f>"Shrewsbury, MA"</f>
        <v>Shrewsbury, MA</v>
      </c>
      <c r="D30" s="1" t="str">
        <f>"102.6"</f>
        <v>102.6</v>
      </c>
      <c r="E30" s="1" t="str">
        <f>"100.7"</f>
        <v>100.7</v>
      </c>
      <c r="F30" s="1" t="str">
        <f>"100.6"</f>
        <v>100.6</v>
      </c>
      <c r="G30" s="1" t="str">
        <f>"102.1"</f>
        <v>102.1</v>
      </c>
      <c r="H30" s="1" t="str">
        <f>"101.9"</f>
        <v>101.9</v>
      </c>
      <c r="I30" s="1" t="str">
        <f>"102.3"</f>
        <v>102.3</v>
      </c>
      <c r="J30" s="1" t="str">
        <f>"610.2"</f>
        <v>610.2</v>
      </c>
    </row>
    <row r="31" spans="1:10" x14ac:dyDescent="0.25">
      <c r="A31">
        <v>26</v>
      </c>
      <c r="B31" t="str">
        <f>"Miller, Kelly (431659)"</f>
        <v>Miller, Kelly (431659)</v>
      </c>
      <c r="C31" t="str">
        <f>"Darien, CT"</f>
        <v>Darien, CT</v>
      </c>
      <c r="D31" s="1" t="str">
        <f>"99.7"</f>
        <v>99.7</v>
      </c>
      <c r="E31" s="1" t="str">
        <f>"102.3"</f>
        <v>102.3</v>
      </c>
      <c r="F31" s="1" t="str">
        <f>"103.2"</f>
        <v>103.2</v>
      </c>
      <c r="G31" s="1" t="str">
        <f>"99.7"</f>
        <v>99.7</v>
      </c>
      <c r="H31" s="1" t="str">
        <f>"101.3"</f>
        <v>101.3</v>
      </c>
      <c r="I31" s="1" t="str">
        <f>"103.9"</f>
        <v>103.9</v>
      </c>
      <c r="J31" s="1" t="str">
        <f>"610.1"</f>
        <v>610.1</v>
      </c>
    </row>
    <row r="32" spans="1:10" x14ac:dyDescent="0.25">
      <c r="A32">
        <v>27</v>
      </c>
      <c r="B32" t="str">
        <f>"Lin, Mela (316292)"</f>
        <v>Lin, Mela (316292)</v>
      </c>
      <c r="C32" t="str">
        <f>"Trenton, OH"</f>
        <v>Trenton, OH</v>
      </c>
      <c r="D32" s="1" t="str">
        <f>"101.8"</f>
        <v>101.8</v>
      </c>
      <c r="E32" s="1" t="str">
        <f>"102.9"</f>
        <v>102.9</v>
      </c>
      <c r="F32" s="1" t="str">
        <f>"102.6"</f>
        <v>102.6</v>
      </c>
      <c r="G32" s="1" t="str">
        <f>"101.2"</f>
        <v>101.2</v>
      </c>
      <c r="H32" s="1" t="str">
        <f>"101.8"</f>
        <v>101.8</v>
      </c>
      <c r="I32" s="1" t="str">
        <f>"99.7"</f>
        <v>99.7</v>
      </c>
      <c r="J32" s="1" t="str">
        <f>"610.0"</f>
        <v>610.0</v>
      </c>
    </row>
    <row r="33" spans="1:10" x14ac:dyDescent="0.25">
      <c r="A33">
        <v>28</v>
      </c>
      <c r="B33" t="str">
        <f>"Gallagher, Hannah (431764)"</f>
        <v>Gallagher, Hannah (431764)</v>
      </c>
      <c r="C33" t="str">
        <f>"Croton on Hudson, NY"</f>
        <v>Croton on Hudson, NY</v>
      </c>
      <c r="D33" s="1" t="str">
        <f>"102.5"</f>
        <v>102.5</v>
      </c>
      <c r="E33" s="1" t="str">
        <f>"102.5"</f>
        <v>102.5</v>
      </c>
      <c r="F33" s="1" t="str">
        <f>"101.6"</f>
        <v>101.6</v>
      </c>
      <c r="G33" s="1" t="str">
        <f>"101.2"</f>
        <v>101.2</v>
      </c>
      <c r="H33" s="1" t="str">
        <f>"102.9"</f>
        <v>102.9</v>
      </c>
      <c r="I33" s="1" t="str">
        <f>"99.3"</f>
        <v>99.3</v>
      </c>
      <c r="J33" s="1" t="str">
        <f>"610.0"</f>
        <v>610.0</v>
      </c>
    </row>
    <row r="34" spans="1:10" x14ac:dyDescent="0.25">
      <c r="A34">
        <v>29</v>
      </c>
      <c r="B34" t="str">
        <f>"Swick, Ziva (308974)"</f>
        <v>Swick, Ziva (308974)</v>
      </c>
      <c r="C34" t="str">
        <f>"Hershey, PA"</f>
        <v>Hershey, PA</v>
      </c>
      <c r="D34" s="1" t="str">
        <f>"102.4"</f>
        <v>102.4</v>
      </c>
      <c r="E34" s="1" t="str">
        <f>"101.0"</f>
        <v>101.0</v>
      </c>
      <c r="F34" s="1" t="str">
        <f>"102.3"</f>
        <v>102.3</v>
      </c>
      <c r="G34" s="1" t="str">
        <f>"101.7"</f>
        <v>101.7</v>
      </c>
      <c r="H34" s="1" t="str">
        <f>"101.3"</f>
        <v>101.3</v>
      </c>
      <c r="I34" s="1" t="str">
        <f>"101.1"</f>
        <v>101.1</v>
      </c>
      <c r="J34" s="1" t="str">
        <f>"609.8"</f>
        <v>609.8</v>
      </c>
    </row>
    <row r="35" spans="1:10" x14ac:dyDescent="0.25">
      <c r="A35">
        <v>30</v>
      </c>
      <c r="B35" t="str">
        <f>"Landis, Julie (184785)"</f>
        <v>Landis, Julie (184785)</v>
      </c>
      <c r="C35" t="str">
        <f>"Cincinnati, OH"</f>
        <v>Cincinnati, OH</v>
      </c>
      <c r="D35" s="1" t="str">
        <f>"101.7"</f>
        <v>101.7</v>
      </c>
      <c r="E35" s="1" t="str">
        <f>"101.0"</f>
        <v>101.0</v>
      </c>
      <c r="F35" s="1" t="str">
        <f>"102.5"</f>
        <v>102.5</v>
      </c>
      <c r="G35" s="1" t="str">
        <f>"101.1"</f>
        <v>101.1</v>
      </c>
      <c r="H35" s="1" t="str">
        <f>"100.5"</f>
        <v>100.5</v>
      </c>
      <c r="I35" s="1" t="str">
        <f>"102.3"</f>
        <v>102.3</v>
      </c>
      <c r="J35" s="1" t="str">
        <f>"609.1"</f>
        <v>609.1</v>
      </c>
    </row>
    <row r="36" spans="1:10" x14ac:dyDescent="0.25">
      <c r="A36">
        <v>31</v>
      </c>
      <c r="B36" t="str">
        <f>"Paddock, Rachael (282179)"</f>
        <v>Paddock, Rachael (282179)</v>
      </c>
      <c r="C36" t="str">
        <f>"Perry, NY"</f>
        <v>Perry, NY</v>
      </c>
      <c r="D36" s="1" t="str">
        <f>"100.9"</f>
        <v>100.9</v>
      </c>
      <c r="E36" s="1" t="str">
        <f>"102.9"</f>
        <v>102.9</v>
      </c>
      <c r="F36" s="1" t="str">
        <f>"101.8"</f>
        <v>101.8</v>
      </c>
      <c r="G36" s="1" t="str">
        <f>"101.4"</f>
        <v>101.4</v>
      </c>
      <c r="H36" s="1" t="str">
        <f>"101.3"</f>
        <v>101.3</v>
      </c>
      <c r="I36" s="1" t="str">
        <f>"100.0"</f>
        <v>100.0</v>
      </c>
      <c r="J36" s="1" t="str">
        <f>"608.3"</f>
        <v>608.3</v>
      </c>
    </row>
    <row r="37" spans="1:10" x14ac:dyDescent="0.25">
      <c r="A37">
        <v>32</v>
      </c>
      <c r="B37" t="str">
        <f>"Lytle, Summer (405842)"</f>
        <v>Lytle, Summer (405842)</v>
      </c>
      <c r="C37" t="str">
        <f>"Zuni, VA"</f>
        <v>Zuni, VA</v>
      </c>
      <c r="D37" s="1" t="str">
        <f>"98.4"</f>
        <v>98.4</v>
      </c>
      <c r="E37" s="1" t="str">
        <f>"101.6"</f>
        <v>101.6</v>
      </c>
      <c r="F37" s="1" t="str">
        <f>"100.4"</f>
        <v>100.4</v>
      </c>
      <c r="G37" s="1" t="str">
        <f>"103.2"</f>
        <v>103.2</v>
      </c>
      <c r="H37" s="1" t="str">
        <f>"103.1"</f>
        <v>103.1</v>
      </c>
      <c r="I37" s="1" t="str">
        <f>"100.4"</f>
        <v>100.4</v>
      </c>
      <c r="J37" s="1" t="str">
        <f>"607.1"</f>
        <v>607.1</v>
      </c>
    </row>
    <row r="38" spans="1:10" x14ac:dyDescent="0.25">
      <c r="A38">
        <v>33</v>
      </c>
      <c r="B38" t="str">
        <f>"Lynn, Karlie (412938)"</f>
        <v>Lynn, Karlie (412938)</v>
      </c>
      <c r="C38" t="str">
        <f>"Hopewell, PA"</f>
        <v>Hopewell, PA</v>
      </c>
      <c r="D38" s="1" t="str">
        <f>"100.4"</f>
        <v>100.4</v>
      </c>
      <c r="E38" s="1" t="str">
        <f>"100.9"</f>
        <v>100.9</v>
      </c>
      <c r="F38" s="1" t="str">
        <f>"101.0"</f>
        <v>101.0</v>
      </c>
      <c r="G38" s="1" t="str">
        <f>"100.5"</f>
        <v>100.5</v>
      </c>
      <c r="H38" s="1" t="str">
        <f>"100.2"</f>
        <v>100.2</v>
      </c>
      <c r="I38" s="1" t="str">
        <f>"103.0"</f>
        <v>103.0</v>
      </c>
      <c r="J38" s="1" t="str">
        <f>"606.0"</f>
        <v>606.0</v>
      </c>
    </row>
    <row r="39" spans="1:10" x14ac:dyDescent="0.25">
      <c r="A39">
        <v>34</v>
      </c>
      <c r="B39" t="str">
        <f>"Meade, Kyra (332082)"</f>
        <v>Meade, Kyra (332082)</v>
      </c>
      <c r="C39" t="str">
        <f>"Fairfax, VA"</f>
        <v>Fairfax, VA</v>
      </c>
      <c r="D39" s="1" t="str">
        <f>"99.7"</f>
        <v>99.7</v>
      </c>
      <c r="E39" s="1" t="str">
        <f>"101.4"</f>
        <v>101.4</v>
      </c>
      <c r="F39" s="1" t="str">
        <f>"101.0"</f>
        <v>101.0</v>
      </c>
      <c r="G39" s="1" t="str">
        <f>"98.2"</f>
        <v>98.2</v>
      </c>
      <c r="H39" s="1" t="str">
        <f>"103.3"</f>
        <v>103.3</v>
      </c>
      <c r="I39" s="1" t="str">
        <f>"102.4"</f>
        <v>102.4</v>
      </c>
      <c r="J39" s="1" t="str">
        <f>"606.0"</f>
        <v>606.0</v>
      </c>
    </row>
    <row r="40" spans="1:10" x14ac:dyDescent="0.25">
      <c r="A40">
        <v>35</v>
      </c>
      <c r="B40" t="str">
        <f>"Moran, Kathleen (405048)"</f>
        <v>Moran, Kathleen (405048)</v>
      </c>
      <c r="C40" t="str">
        <f>"Buffalo, NY"</f>
        <v>Buffalo, NY</v>
      </c>
      <c r="D40" s="1" t="str">
        <f>"102.1"</f>
        <v>102.1</v>
      </c>
      <c r="E40" s="1" t="str">
        <f>"100.5"</f>
        <v>100.5</v>
      </c>
      <c r="F40" s="1" t="str">
        <f>"100.0"</f>
        <v>100.0</v>
      </c>
      <c r="G40" s="1" t="str">
        <f>"101.9"</f>
        <v>101.9</v>
      </c>
      <c r="H40" s="1" t="str">
        <f>"98.7"</f>
        <v>98.7</v>
      </c>
      <c r="I40" s="1" t="str">
        <f>"102.7"</f>
        <v>102.7</v>
      </c>
      <c r="J40" s="1" t="str">
        <f>"605.9"</f>
        <v>605.9</v>
      </c>
    </row>
    <row r="41" spans="1:10" x14ac:dyDescent="0.25">
      <c r="A41">
        <v>36</v>
      </c>
      <c r="B41" t="str">
        <f>"Cameron, Emma (459930)"</f>
        <v>Cameron, Emma (459930)</v>
      </c>
      <c r="C41" t="str">
        <f>"Chesapeake, VA"</f>
        <v>Chesapeake, VA</v>
      </c>
      <c r="D41" s="1" t="str">
        <f>"101.4"</f>
        <v>101.4</v>
      </c>
      <c r="E41" s="1" t="str">
        <f>"103.1"</f>
        <v>103.1</v>
      </c>
      <c r="F41" s="1" t="str">
        <f>"102.7"</f>
        <v>102.7</v>
      </c>
      <c r="G41" s="1" t="str">
        <f>"100.2"</f>
        <v>100.2</v>
      </c>
      <c r="H41" s="1" t="str">
        <f>"99.4"</f>
        <v>99.4</v>
      </c>
      <c r="I41" s="1" t="str">
        <f>"98.9"</f>
        <v>98.9</v>
      </c>
      <c r="J41" s="1" t="str">
        <f>"605.7"</f>
        <v>605.7</v>
      </c>
    </row>
    <row r="42" spans="1:10" x14ac:dyDescent="0.25">
      <c r="A42">
        <v>37</v>
      </c>
      <c r="B42" t="str">
        <f>"Welter, Natalie (406784)"</f>
        <v>Welter, Natalie (406784)</v>
      </c>
      <c r="C42" t="str">
        <f>"Parker, PA"</f>
        <v>Parker, PA</v>
      </c>
      <c r="D42" s="1" t="str">
        <f>"98.8"</f>
        <v>98.8</v>
      </c>
      <c r="E42" s="1" t="str">
        <f>"99.8"</f>
        <v>99.8</v>
      </c>
      <c r="F42" s="1" t="str">
        <f>"101.9"</f>
        <v>101.9</v>
      </c>
      <c r="G42" s="1" t="str">
        <f>"100.4"</f>
        <v>100.4</v>
      </c>
      <c r="H42" s="1" t="str">
        <f>"102.8"</f>
        <v>102.8</v>
      </c>
      <c r="I42" s="1" t="str">
        <f>"101.7"</f>
        <v>101.7</v>
      </c>
      <c r="J42" s="1" t="str">
        <f>"605.4"</f>
        <v>605.4</v>
      </c>
    </row>
    <row r="43" spans="1:10" x14ac:dyDescent="0.25">
      <c r="A43">
        <v>38</v>
      </c>
      <c r="B43" t="str">
        <f>"Jaros, Megan (350727)"</f>
        <v>Jaros, Megan (350727)</v>
      </c>
      <c r="C43" t="str">
        <f>"Roseville, MN"</f>
        <v>Roseville, MN</v>
      </c>
      <c r="D43" s="1" t="str">
        <f>"102.4"</f>
        <v>102.4</v>
      </c>
      <c r="E43" s="1" t="str">
        <f>"99.0"</f>
        <v>99.0</v>
      </c>
      <c r="F43" s="1" t="str">
        <f>"102.9"</f>
        <v>102.9</v>
      </c>
      <c r="G43" s="1" t="str">
        <f>"102.4"</f>
        <v>102.4</v>
      </c>
      <c r="H43" s="1" t="str">
        <f>"100.0"</f>
        <v>100.0</v>
      </c>
      <c r="I43" s="1" t="str">
        <f>"98.6"</f>
        <v>98.6</v>
      </c>
      <c r="J43" s="1" t="str">
        <f>"605.3"</f>
        <v>605.3</v>
      </c>
    </row>
    <row r="44" spans="1:10" x14ac:dyDescent="0.25">
      <c r="A44">
        <v>39</v>
      </c>
      <c r="B44" t="str">
        <f>"Lee, Ella (318843)"</f>
        <v>Lee, Ella (318843)</v>
      </c>
      <c r="C44" t="str">
        <f>"West Roxbury, MA"</f>
        <v>West Roxbury, MA</v>
      </c>
      <c r="D44" s="1" t="str">
        <f>"101.2"</f>
        <v>101.2</v>
      </c>
      <c r="E44" s="1" t="str">
        <f>"100.9"</f>
        <v>100.9</v>
      </c>
      <c r="F44" s="1" t="str">
        <f>"100.4"</f>
        <v>100.4</v>
      </c>
      <c r="G44" s="1" t="str">
        <f>"100.7"</f>
        <v>100.7</v>
      </c>
      <c r="H44" s="1" t="str">
        <f>"101.8"</f>
        <v>101.8</v>
      </c>
      <c r="I44" s="1" t="str">
        <f>"100.0"</f>
        <v>100.0</v>
      </c>
      <c r="J44" s="1" t="str">
        <f>"605.0"</f>
        <v>605.0</v>
      </c>
    </row>
    <row r="45" spans="1:10" x14ac:dyDescent="0.25">
      <c r="A45">
        <v>40</v>
      </c>
      <c r="B45" t="str">
        <f>"Williams, Kinzey (439242)"</f>
        <v>Williams, Kinzey (439242)</v>
      </c>
      <c r="C45" t="str">
        <f>"Everett, PA"</f>
        <v>Everett, PA</v>
      </c>
      <c r="D45" s="1" t="str">
        <f>"100.0"</f>
        <v>100.0</v>
      </c>
      <c r="E45" s="1" t="str">
        <f>"101.8"</f>
        <v>101.8</v>
      </c>
      <c r="F45" s="1" t="str">
        <f>"100.6"</f>
        <v>100.6</v>
      </c>
      <c r="G45" s="1" t="str">
        <f>"100.5"</f>
        <v>100.5</v>
      </c>
      <c r="H45" s="1" t="str">
        <f>"101.1"</f>
        <v>101.1</v>
      </c>
      <c r="I45" s="1" t="str">
        <f>"99.3"</f>
        <v>99.3</v>
      </c>
      <c r="J45" s="1" t="str">
        <f>"603.3"</f>
        <v>603.3</v>
      </c>
    </row>
    <row r="46" spans="1:10" x14ac:dyDescent="0.25">
      <c r="A46">
        <v>41</v>
      </c>
      <c r="B46" t="str">
        <f>"Smith, Madison (435156)"</f>
        <v>Smith, Madison (435156)</v>
      </c>
      <c r="C46" t="str">
        <f>"Bedford, PA"</f>
        <v>Bedford, PA</v>
      </c>
      <c r="D46" s="1" t="str">
        <f>"98.6"</f>
        <v>98.6</v>
      </c>
      <c r="E46" s="1" t="str">
        <f>"98.4"</f>
        <v>98.4</v>
      </c>
      <c r="F46" s="1" t="str">
        <f>"100.4"</f>
        <v>100.4</v>
      </c>
      <c r="G46" s="1" t="str">
        <f>"101.6"</f>
        <v>101.6</v>
      </c>
      <c r="H46" s="1" t="str">
        <f>"102.5"</f>
        <v>102.5</v>
      </c>
      <c r="I46" s="1" t="str">
        <f>"100.5"</f>
        <v>100.5</v>
      </c>
      <c r="J46" s="1" t="str">
        <f>"602.0"</f>
        <v>602.0</v>
      </c>
    </row>
    <row r="47" spans="1:10" x14ac:dyDescent="0.25">
      <c r="A47">
        <v>42</v>
      </c>
      <c r="B47" t="str">
        <f>"Grochalski, Katelynn (293579)"</f>
        <v>Grochalski, Katelynn (293579)</v>
      </c>
      <c r="C47" t="str">
        <f>"Harmony, PA"</f>
        <v>Harmony, PA</v>
      </c>
      <c r="D47" s="1" t="str">
        <f>"99.5"</f>
        <v>99.5</v>
      </c>
      <c r="E47" s="1" t="str">
        <f>"98.1"</f>
        <v>98.1</v>
      </c>
      <c r="F47" s="1" t="str">
        <f>"101.5"</f>
        <v>101.5</v>
      </c>
      <c r="G47" s="1" t="str">
        <f>"102.5"</f>
        <v>102.5</v>
      </c>
      <c r="H47" s="1" t="str">
        <f>"100.8"</f>
        <v>100.8</v>
      </c>
      <c r="I47" s="1" t="str">
        <f>"99.6"</f>
        <v>99.6</v>
      </c>
      <c r="J47" s="1" t="str">
        <f>"602.0"</f>
        <v>602.0</v>
      </c>
    </row>
    <row r="48" spans="1:10" x14ac:dyDescent="0.25">
      <c r="A48">
        <v>43</v>
      </c>
      <c r="B48" t="str">
        <f>"Shepard, Grace (305134)"</f>
        <v>Shepard, Grace (305134)</v>
      </c>
      <c r="C48" t="str">
        <f>"Beecher, IL"</f>
        <v>Beecher, IL</v>
      </c>
      <c r="D48" s="1" t="str">
        <f>"100.3"</f>
        <v>100.3</v>
      </c>
      <c r="E48" s="1" t="str">
        <f>"100.0"</f>
        <v>100.0</v>
      </c>
      <c r="F48" s="1" t="str">
        <f>"99.9"</f>
        <v>99.9</v>
      </c>
      <c r="G48" s="1" t="str">
        <f>"99.4"</f>
        <v>99.4</v>
      </c>
      <c r="H48" s="1" t="str">
        <f>"98.9"</f>
        <v>98.9</v>
      </c>
      <c r="I48" s="1" t="str">
        <f>"103.4"</f>
        <v>103.4</v>
      </c>
      <c r="J48" s="1" t="str">
        <f>"601.9"</f>
        <v>601.9</v>
      </c>
    </row>
    <row r="49" spans="1:10" x14ac:dyDescent="0.25">
      <c r="A49">
        <v>44</v>
      </c>
      <c r="B49" t="str">
        <f>"Palfrey, Maggie (435566)"</f>
        <v>Palfrey, Maggie (435566)</v>
      </c>
      <c r="C49" t="str">
        <f>"Indiana , PA"</f>
        <v>Indiana , PA</v>
      </c>
      <c r="D49" s="1" t="str">
        <f>"97.4"</f>
        <v>97.4</v>
      </c>
      <c r="E49" s="1" t="str">
        <f>"99.5"</f>
        <v>99.5</v>
      </c>
      <c r="F49" s="1" t="str">
        <f>"100.0"</f>
        <v>100.0</v>
      </c>
      <c r="G49" s="1" t="str">
        <f>"100.4"</f>
        <v>100.4</v>
      </c>
      <c r="H49" s="1" t="str">
        <f>"100.1"</f>
        <v>100.1</v>
      </c>
      <c r="I49" s="1" t="str">
        <f>"103.0"</f>
        <v>103.0</v>
      </c>
      <c r="J49" s="1" t="str">
        <f>"600.4"</f>
        <v>600.4</v>
      </c>
    </row>
    <row r="50" spans="1:10" x14ac:dyDescent="0.25">
      <c r="A50">
        <v>45</v>
      </c>
      <c r="B50" t="str">
        <f>"Phillips, Victoria (292379)"</f>
        <v>Phillips, Victoria (292379)</v>
      </c>
      <c r="C50" t="str">
        <f>"King George, VA"</f>
        <v>King George, VA</v>
      </c>
      <c r="D50" s="1" t="str">
        <f>"101.2"</f>
        <v>101.2</v>
      </c>
      <c r="E50" s="1" t="str">
        <f>"99.3"</f>
        <v>99.3</v>
      </c>
      <c r="F50" s="1" t="str">
        <f>"98.6"</f>
        <v>98.6</v>
      </c>
      <c r="G50" s="1" t="str">
        <f>"102.1"</f>
        <v>102.1</v>
      </c>
      <c r="H50" s="1" t="str">
        <f>"100.6"</f>
        <v>100.6</v>
      </c>
      <c r="I50" s="1" t="str">
        <f>"97.7"</f>
        <v>97.7</v>
      </c>
      <c r="J50" s="1" t="str">
        <f>"599.5"</f>
        <v>599.5</v>
      </c>
    </row>
    <row r="51" spans="1:10" x14ac:dyDescent="0.25">
      <c r="A51">
        <v>46</v>
      </c>
      <c r="B51" t="str">
        <f>"Snowdall, Alyson (398916)"</f>
        <v>Snowdall, Alyson (398916)</v>
      </c>
      <c r="C51" t="str">
        <f>"Burke , VA"</f>
        <v>Burke , VA</v>
      </c>
      <c r="D51" s="1" t="str">
        <f>"101.2"</f>
        <v>101.2</v>
      </c>
      <c r="E51" s="1" t="str">
        <f>"98.2"</f>
        <v>98.2</v>
      </c>
      <c r="F51" s="1" t="str">
        <f>"100.4"</f>
        <v>100.4</v>
      </c>
      <c r="G51" s="1" t="str">
        <f>"100.9"</f>
        <v>100.9</v>
      </c>
      <c r="H51" s="1" t="str">
        <f>"98.4"</f>
        <v>98.4</v>
      </c>
      <c r="I51" s="1" t="str">
        <f>"99.2"</f>
        <v>99.2</v>
      </c>
      <c r="J51" s="1" t="str">
        <f>"598.3"</f>
        <v>598.3</v>
      </c>
    </row>
    <row r="52" spans="1:10" x14ac:dyDescent="0.25">
      <c r="A52">
        <v>47</v>
      </c>
      <c r="B52" t="str">
        <f>"Trinkle, Kayla (455861)"</f>
        <v>Trinkle, Kayla (455861)</v>
      </c>
      <c r="C52" t="str">
        <f>"Zionsville, PA"</f>
        <v>Zionsville, PA</v>
      </c>
      <c r="D52" s="1" t="str">
        <f>"98.6"</f>
        <v>98.6</v>
      </c>
      <c r="E52" s="1" t="str">
        <f>"99.9"</f>
        <v>99.9</v>
      </c>
      <c r="F52" s="1" t="str">
        <f>"98.4"</f>
        <v>98.4</v>
      </c>
      <c r="G52" s="1" t="str">
        <f>"100.9"</f>
        <v>100.9</v>
      </c>
      <c r="H52" s="1" t="str">
        <f>"100.6"</f>
        <v>100.6</v>
      </c>
      <c r="I52" s="1" t="str">
        <f>"97.8"</f>
        <v>97.8</v>
      </c>
      <c r="J52" s="1" t="str">
        <f>"596.2"</f>
        <v>596.2</v>
      </c>
    </row>
    <row r="53" spans="1:10" x14ac:dyDescent="0.25">
      <c r="A53">
        <v>48</v>
      </c>
      <c r="B53" t="str">
        <f>"Valenta, Emily (370630)"</f>
        <v>Valenta, Emily (370630)</v>
      </c>
      <c r="C53" t="str">
        <f>"Harrison City, PA"</f>
        <v>Harrison City, PA</v>
      </c>
      <c r="D53" s="1" t="str">
        <f>"98.5"</f>
        <v>98.5</v>
      </c>
      <c r="E53" s="1" t="str">
        <f>"101.1"</f>
        <v>101.1</v>
      </c>
      <c r="F53" s="1" t="str">
        <f>"99.7"</f>
        <v>99.7</v>
      </c>
      <c r="G53" s="1" t="str">
        <f>"96.2"</f>
        <v>96.2</v>
      </c>
      <c r="H53" s="1" t="str">
        <f>"98.3"</f>
        <v>98.3</v>
      </c>
      <c r="I53" s="1" t="str">
        <f>"102.2"</f>
        <v>102.2</v>
      </c>
      <c r="J53" s="1" t="str">
        <f>"596.0"</f>
        <v>596.0</v>
      </c>
    </row>
    <row r="54" spans="1:10" x14ac:dyDescent="0.25">
      <c r="A54">
        <v>49</v>
      </c>
      <c r="B54" t="str">
        <f>"Mills, Laila (436909)"</f>
        <v>Mills, Laila (436909)</v>
      </c>
      <c r="C54" t="str">
        <f>"Everett, PA"</f>
        <v>Everett, PA</v>
      </c>
      <c r="D54" s="1" t="str">
        <f>"98.4"</f>
        <v>98.4</v>
      </c>
      <c r="E54" s="1" t="str">
        <f>"99.4"</f>
        <v>99.4</v>
      </c>
      <c r="F54" s="1" t="str">
        <f>"97.5"</f>
        <v>97.5</v>
      </c>
      <c r="G54" s="1" t="str">
        <f>"103.0"</f>
        <v>103.0</v>
      </c>
      <c r="H54" s="1" t="str">
        <f>"97.6"</f>
        <v>97.6</v>
      </c>
      <c r="I54" s="1" t="str">
        <f>"100.1"</f>
        <v>100.1</v>
      </c>
      <c r="J54" s="1" t="str">
        <f>"596.0"</f>
        <v>596.0</v>
      </c>
    </row>
    <row r="55" spans="1:10" x14ac:dyDescent="0.25">
      <c r="A55">
        <v>50</v>
      </c>
      <c r="B55" t="str">
        <f>"Heschel, Diane (232773)"</f>
        <v>Heschel, Diane (232773)</v>
      </c>
      <c r="C55" t="str">
        <f>"Oak Harbor, OH"</f>
        <v>Oak Harbor, OH</v>
      </c>
      <c r="D55" s="1" t="str">
        <f>"95.8"</f>
        <v>95.8</v>
      </c>
      <c r="E55" s="1" t="str">
        <f>"98.2"</f>
        <v>98.2</v>
      </c>
      <c r="F55" s="1" t="str">
        <f>"99.9"</f>
        <v>99.9</v>
      </c>
      <c r="G55" s="1" t="str">
        <f>"103.3"</f>
        <v>103.3</v>
      </c>
      <c r="H55" s="1" t="str">
        <f>"99.8"</f>
        <v>99.8</v>
      </c>
      <c r="I55" s="1" t="str">
        <f>"98.7"</f>
        <v>98.7</v>
      </c>
      <c r="J55" s="1" t="str">
        <f>"595.7"</f>
        <v>595.7</v>
      </c>
    </row>
    <row r="56" spans="1:10" x14ac:dyDescent="0.25">
      <c r="A56">
        <v>51</v>
      </c>
      <c r="B56" t="str">
        <f>"Mix, Sarah (395288)"</f>
        <v>Mix, Sarah (395288)</v>
      </c>
      <c r="C56" t="str">
        <f>"Xenia, OH"</f>
        <v>Xenia, OH</v>
      </c>
      <c r="D56" s="1" t="str">
        <f>"99.2"</f>
        <v>99.2</v>
      </c>
      <c r="E56" s="1" t="str">
        <f>"96.5"</f>
        <v>96.5</v>
      </c>
      <c r="F56" s="1" t="str">
        <f>"101.4"</f>
        <v>101.4</v>
      </c>
      <c r="G56" s="1" t="str">
        <f>"98.0"</f>
        <v>98.0</v>
      </c>
      <c r="H56" s="1" t="str">
        <f>"101.0"</f>
        <v>101.0</v>
      </c>
      <c r="I56" s="1" t="str">
        <f>"99.4"</f>
        <v>99.4</v>
      </c>
      <c r="J56" s="1" t="str">
        <f>"595.5"</f>
        <v>595.5</v>
      </c>
    </row>
    <row r="57" spans="1:10" x14ac:dyDescent="0.25">
      <c r="A57">
        <v>52</v>
      </c>
      <c r="B57" t="str">
        <f>"Carroll, Samantha (431765)"</f>
        <v>Carroll, Samantha (431765)</v>
      </c>
      <c r="C57" t="str">
        <f>"Monroe, CT"</f>
        <v>Monroe, CT</v>
      </c>
      <c r="D57" s="1" t="str">
        <f>"96.6"</f>
        <v>96.6</v>
      </c>
      <c r="E57" s="1" t="str">
        <f>"100.7"</f>
        <v>100.7</v>
      </c>
      <c r="F57" s="1" t="str">
        <f>"97.9"</f>
        <v>97.9</v>
      </c>
      <c r="G57" s="1" t="str">
        <f>"98.9"</f>
        <v>98.9</v>
      </c>
      <c r="H57" s="1" t="str">
        <f>"99.6"</f>
        <v>99.6</v>
      </c>
      <c r="I57" s="1" t="str">
        <f>"101.7"</f>
        <v>101.7</v>
      </c>
      <c r="J57" s="1" t="str">
        <f>"595.4"</f>
        <v>595.4</v>
      </c>
    </row>
    <row r="58" spans="1:10" x14ac:dyDescent="0.25">
      <c r="A58">
        <v>53</v>
      </c>
      <c r="B58" t="str">
        <f>"Wade, Sienna (388515)"</f>
        <v>Wade, Sienna (388515)</v>
      </c>
      <c r="C58" t="str">
        <f>"Fairfax, VA"</f>
        <v>Fairfax, VA</v>
      </c>
      <c r="D58" s="1" t="str">
        <f>"96.0"</f>
        <v>96.0</v>
      </c>
      <c r="E58" s="1" t="str">
        <f>"99.5"</f>
        <v>99.5</v>
      </c>
      <c r="F58" s="1" t="str">
        <f>"97.9"</f>
        <v>97.9</v>
      </c>
      <c r="G58" s="1" t="str">
        <f>"98.2"</f>
        <v>98.2</v>
      </c>
      <c r="H58" s="1" t="str">
        <f>"100.2"</f>
        <v>100.2</v>
      </c>
      <c r="I58" s="1" t="str">
        <f>"101.9"</f>
        <v>101.9</v>
      </c>
      <c r="J58" s="1" t="str">
        <f>"593.7"</f>
        <v>593.7</v>
      </c>
    </row>
    <row r="59" spans="1:10" x14ac:dyDescent="0.25">
      <c r="A59">
        <v>54</v>
      </c>
      <c r="B59" t="str">
        <f>"Roderick, Rylie (402572)"</f>
        <v>Roderick, Rylie (402572)</v>
      </c>
      <c r="C59" t="str">
        <f>"Taunton, MA"</f>
        <v>Taunton, MA</v>
      </c>
      <c r="D59" s="1" t="str">
        <f>"94.3"</f>
        <v>94.3</v>
      </c>
      <c r="E59" s="1" t="str">
        <f>"100.6"</f>
        <v>100.6</v>
      </c>
      <c r="F59" s="1" t="str">
        <f>"96.7"</f>
        <v>96.7</v>
      </c>
      <c r="G59" s="1" t="str">
        <f>"101.4"</f>
        <v>101.4</v>
      </c>
      <c r="H59" s="1" t="str">
        <f>"101.2"</f>
        <v>101.2</v>
      </c>
      <c r="I59" s="1" t="str">
        <f>"98.1"</f>
        <v>98.1</v>
      </c>
      <c r="J59" s="1" t="str">
        <f>"592.3"</f>
        <v>592.3</v>
      </c>
    </row>
    <row r="60" spans="1:10" x14ac:dyDescent="0.25">
      <c r="A60">
        <v>55</v>
      </c>
      <c r="B60" t="str">
        <f>"Freiburger, Aubrey (428397)"</f>
        <v>Freiburger, Aubrey (428397)</v>
      </c>
      <c r="C60" t="str">
        <f>"Fort Wayne, IN"</f>
        <v>Fort Wayne, IN</v>
      </c>
      <c r="D60" s="1" t="str">
        <f>"98.3"</f>
        <v>98.3</v>
      </c>
      <c r="E60" s="1" t="str">
        <f>"99.6"</f>
        <v>99.6</v>
      </c>
      <c r="F60" s="1" t="str">
        <f>"100.3"</f>
        <v>100.3</v>
      </c>
      <c r="G60" s="1" t="str">
        <f>"96.1"</f>
        <v>96.1</v>
      </c>
      <c r="H60" s="1" t="str">
        <f>"96.4"</f>
        <v>96.4</v>
      </c>
      <c r="I60" s="1" t="str">
        <f>"99.3"</f>
        <v>99.3</v>
      </c>
      <c r="J60" s="1" t="str">
        <f>"590.0"</f>
        <v>590.0</v>
      </c>
    </row>
    <row r="61" spans="1:10" x14ac:dyDescent="0.25">
      <c r="A61">
        <v>56</v>
      </c>
      <c r="B61" t="str">
        <f>"Degisi, Lilianna (430813)"</f>
        <v>Degisi, Lilianna (430813)</v>
      </c>
      <c r="C61" t="str">
        <f>"Arlington, VA"</f>
        <v>Arlington, VA</v>
      </c>
      <c r="D61" s="1" t="str">
        <f>"99.7"</f>
        <v>99.7</v>
      </c>
      <c r="E61" s="1" t="str">
        <f>"98.3"</f>
        <v>98.3</v>
      </c>
      <c r="F61" s="1" t="str">
        <f>"95.8"</f>
        <v>95.8</v>
      </c>
      <c r="G61" s="1" t="str">
        <f>"100.6"</f>
        <v>100.6</v>
      </c>
      <c r="H61" s="1" t="str">
        <f>"98.6"</f>
        <v>98.6</v>
      </c>
      <c r="I61" s="1" t="str">
        <f>"96.6"</f>
        <v>96.6</v>
      </c>
      <c r="J61" s="1" t="str">
        <f>"589.6"</f>
        <v>589.6</v>
      </c>
    </row>
    <row r="62" spans="1:10" x14ac:dyDescent="0.25">
      <c r="A62">
        <v>57</v>
      </c>
      <c r="B62" t="str">
        <f>"Bernier, Katherine (431761)"</f>
        <v>Bernier, Katherine (431761)</v>
      </c>
      <c r="C62" t="str">
        <f>"Monroe, CT"</f>
        <v>Monroe, CT</v>
      </c>
      <c r="D62" s="1" t="str">
        <f>"100.5"</f>
        <v>100.5</v>
      </c>
      <c r="E62" s="1" t="str">
        <f>"97.2"</f>
        <v>97.2</v>
      </c>
      <c r="F62" s="1" t="str">
        <f>"94.8"</f>
        <v>94.8</v>
      </c>
      <c r="G62" s="1" t="str">
        <f>"100.5"</f>
        <v>100.5</v>
      </c>
      <c r="H62" s="1" t="str">
        <f>"99.1"</f>
        <v>99.1</v>
      </c>
      <c r="I62" s="1" t="str">
        <f>"95.7"</f>
        <v>95.7</v>
      </c>
      <c r="J62" s="1" t="str">
        <f>"587.8"</f>
        <v>587.8</v>
      </c>
    </row>
    <row r="63" spans="1:10" x14ac:dyDescent="0.25">
      <c r="A63">
        <v>58</v>
      </c>
      <c r="B63" t="str">
        <f>"Kalenza, Sophie (378865)"</f>
        <v>Kalenza, Sophie (378865)</v>
      </c>
      <c r="C63" t="str">
        <f>"Fort Mill, SC"</f>
        <v>Fort Mill, SC</v>
      </c>
      <c r="D63" s="1" t="str">
        <f>"95.0"</f>
        <v>95.0</v>
      </c>
      <c r="E63" s="1" t="str">
        <f>"97.1"</f>
        <v>97.1</v>
      </c>
      <c r="F63" s="1" t="str">
        <f>"99.7"</f>
        <v>99.7</v>
      </c>
      <c r="G63" s="1" t="str">
        <f>"97.5"</f>
        <v>97.5</v>
      </c>
      <c r="H63" s="1" t="str">
        <f>"98.5"</f>
        <v>98.5</v>
      </c>
      <c r="I63" s="1" t="str">
        <f>"99.4"</f>
        <v>99.4</v>
      </c>
      <c r="J63" s="1" t="str">
        <f>"587.2"</f>
        <v>587.2</v>
      </c>
    </row>
    <row r="64" spans="1:10" x14ac:dyDescent="0.25">
      <c r="A64">
        <v>59</v>
      </c>
      <c r="B64" t="str">
        <f>"Kiselicka, Emily (439341)"</f>
        <v>Kiselicka, Emily (439341)</v>
      </c>
      <c r="C64" t="str">
        <f>"Medford, WI"</f>
        <v>Medford, WI</v>
      </c>
      <c r="D64" s="1" t="str">
        <f>"99.6"</f>
        <v>99.6</v>
      </c>
      <c r="E64" s="1" t="str">
        <f>"98.1"</f>
        <v>98.1</v>
      </c>
      <c r="F64" s="1" t="str">
        <f>"96.9"</f>
        <v>96.9</v>
      </c>
      <c r="G64" s="1" t="str">
        <f>"94.4"</f>
        <v>94.4</v>
      </c>
      <c r="H64" s="1" t="str">
        <f>"96.2"</f>
        <v>96.2</v>
      </c>
      <c r="I64" s="1" t="str">
        <f>"98.1"</f>
        <v>98.1</v>
      </c>
      <c r="J64" s="1" t="str">
        <f>"583.3"</f>
        <v>583.3</v>
      </c>
    </row>
    <row r="65" spans="1:10" x14ac:dyDescent="0.25">
      <c r="A65">
        <v>60</v>
      </c>
      <c r="B65" t="str">
        <f>"D'Souza, Eliana (459846)"</f>
        <v>D'Souza, Eliana (459846)</v>
      </c>
      <c r="C65" t="str">
        <f>"Ellicott City, MD"</f>
        <v>Ellicott City, MD</v>
      </c>
      <c r="D65" s="1" t="str">
        <f>"97.7"</f>
        <v>97.7</v>
      </c>
      <c r="E65" s="1" t="str">
        <f>"100.6"</f>
        <v>100.6</v>
      </c>
      <c r="F65" s="1" t="str">
        <f>"97.7"</f>
        <v>97.7</v>
      </c>
      <c r="G65" s="1" t="str">
        <f>"91.9"</f>
        <v>91.9</v>
      </c>
      <c r="H65" s="1" t="str">
        <f>"94.6"</f>
        <v>94.6</v>
      </c>
      <c r="I65" s="1" t="str">
        <f>"96.4"</f>
        <v>96.4</v>
      </c>
      <c r="J65" s="1" t="str">
        <f>"578.9"</f>
        <v>578.9</v>
      </c>
    </row>
    <row r="66" spans="1:10" x14ac:dyDescent="0.25">
      <c r="A66">
        <v>61</v>
      </c>
      <c r="B66" t="str">
        <f>"Gregory, Jessica (365337)"</f>
        <v>Gregory, Jessica (365337)</v>
      </c>
      <c r="C66" t="str">
        <f>"Morgantown, WV"</f>
        <v>Morgantown, WV</v>
      </c>
      <c r="D66" s="1" t="str">
        <f>"97.1"</f>
        <v>97.1</v>
      </c>
      <c r="E66" s="1" t="str">
        <f>"96.6"</f>
        <v>96.6</v>
      </c>
      <c r="F66" s="1" t="str">
        <f>"97.4"</f>
        <v>97.4</v>
      </c>
      <c r="G66" s="1" t="str">
        <f>"93.6"</f>
        <v>93.6</v>
      </c>
      <c r="H66" s="1" t="str">
        <f>"95.7"</f>
        <v>95.7</v>
      </c>
      <c r="I66" s="1" t="str">
        <f>"97.8"</f>
        <v>97.8</v>
      </c>
      <c r="J66" s="1" t="str">
        <f>"578.2"</f>
        <v>578.2</v>
      </c>
    </row>
    <row r="67" spans="1:10" x14ac:dyDescent="0.25">
      <c r="A67">
        <v>62</v>
      </c>
      <c r="B67" t="str">
        <f>"Conner-Park, Liadan (415101)"</f>
        <v>Conner-Park, Liadan (415101)</v>
      </c>
      <c r="C67" t="str">
        <f>"Rockton, PA"</f>
        <v>Rockton, PA</v>
      </c>
      <c r="D67" s="1" t="str">
        <f>"95.9"</f>
        <v>95.9</v>
      </c>
      <c r="E67" s="1" t="str">
        <f>"94.6"</f>
        <v>94.6</v>
      </c>
      <c r="F67" s="1" t="str">
        <f>"97.3"</f>
        <v>97.3</v>
      </c>
      <c r="G67" s="1" t="str">
        <f>"95.6"</f>
        <v>95.6</v>
      </c>
      <c r="H67" s="1" t="str">
        <f>"99.1"</f>
        <v>99.1</v>
      </c>
      <c r="I67" s="1" t="str">
        <f>"93.4"</f>
        <v>93.4</v>
      </c>
      <c r="J67" s="1" t="str">
        <f>"575.9"</f>
        <v>575.9</v>
      </c>
    </row>
    <row r="68" spans="1:10" x14ac:dyDescent="0.25">
      <c r="A68">
        <v>63</v>
      </c>
      <c r="B68" t="str">
        <f>"Fink, Lilly (372471)"</f>
        <v>Fink, Lilly (372471)</v>
      </c>
      <c r="C68" t="str">
        <f>"Fort Wayne, IN"</f>
        <v>Fort Wayne, IN</v>
      </c>
      <c r="D68" s="1" t="str">
        <f>"99.3"</f>
        <v>99.3</v>
      </c>
      <c r="E68" s="1" t="str">
        <f>"96.2"</f>
        <v>96.2</v>
      </c>
      <c r="F68" s="1" t="str">
        <f>"96.1"</f>
        <v>96.1</v>
      </c>
      <c r="G68" s="1" t="str">
        <f>"96.2"</f>
        <v>96.2</v>
      </c>
      <c r="H68" s="1" t="str">
        <f>"92.6"</f>
        <v>92.6</v>
      </c>
      <c r="I68" s="1" t="str">
        <f>"94.0"</f>
        <v>94.0</v>
      </c>
      <c r="J68" s="1" t="str">
        <f>"574.4"</f>
        <v>574.4</v>
      </c>
    </row>
    <row r="69" spans="1:10" x14ac:dyDescent="0.25">
      <c r="A69">
        <v>64</v>
      </c>
      <c r="B69" t="str">
        <f>"Johnson, Elizabeth (436452)"</f>
        <v>Johnson, Elizabeth (436452)</v>
      </c>
      <c r="C69" t="str">
        <f>"Eastchester , NY"</f>
        <v>Eastchester , NY</v>
      </c>
      <c r="D69" s="1" t="str">
        <f>"96.2"</f>
        <v>96.2</v>
      </c>
      <c r="E69" s="1" t="str">
        <f>"94.2"</f>
        <v>94.2</v>
      </c>
      <c r="F69" s="1" t="str">
        <f>"94.8"</f>
        <v>94.8</v>
      </c>
      <c r="G69" s="1" t="str">
        <f>"96.9"</f>
        <v>96.9</v>
      </c>
      <c r="H69" s="1" t="str">
        <f>"95.0"</f>
        <v>95.0</v>
      </c>
      <c r="I69" s="1" t="str">
        <f>"96.7"</f>
        <v>96.7</v>
      </c>
      <c r="J69" s="1" t="str">
        <f>"573.8"</f>
        <v>573.8</v>
      </c>
    </row>
    <row r="70" spans="1:10" x14ac:dyDescent="0.25">
      <c r="A70">
        <v>65</v>
      </c>
      <c r="B70" t="str">
        <f>"Forgues, Phoebe (403128)"</f>
        <v>Forgues, Phoebe (403128)</v>
      </c>
      <c r="C70" t="str">
        <f>"Shrewsbury, MA"</f>
        <v>Shrewsbury, MA</v>
      </c>
      <c r="D70" s="1" t="str">
        <f>"96.0"</f>
        <v>96.0</v>
      </c>
      <c r="E70" s="1" t="str">
        <f>"93.7"</f>
        <v>93.7</v>
      </c>
      <c r="F70" s="1" t="str">
        <f>"98.0"</f>
        <v>98.0</v>
      </c>
      <c r="G70" s="1" t="str">
        <f>"92.6"</f>
        <v>92.6</v>
      </c>
      <c r="H70" s="1" t="str">
        <f>"97.2"</f>
        <v>97.2</v>
      </c>
      <c r="I70" s="1" t="str">
        <f>"92.2"</f>
        <v>92.2</v>
      </c>
      <c r="J70" s="1" t="str">
        <f>"569.7"</f>
        <v>569.7</v>
      </c>
    </row>
    <row r="71" spans="1:10" x14ac:dyDescent="0.25">
      <c r="A71">
        <v>66</v>
      </c>
      <c r="B71" t="str">
        <f>"Altman, Lilly (372490)"</f>
        <v>Altman, Lilly (372490)</v>
      </c>
      <c r="C71" t="str">
        <f>"Huntertown, IN"</f>
        <v>Huntertown, IN</v>
      </c>
      <c r="D71" s="1" t="str">
        <f>"93.3"</f>
        <v>93.3</v>
      </c>
      <c r="E71" s="1" t="str">
        <f>"92.9"</f>
        <v>92.9</v>
      </c>
      <c r="F71" s="1" t="str">
        <f>"90.3"</f>
        <v>90.3</v>
      </c>
      <c r="G71" s="1" t="str">
        <f>"98.3"</f>
        <v>98.3</v>
      </c>
      <c r="H71" s="1" t="str">
        <f>"97.2"</f>
        <v>97.2</v>
      </c>
      <c r="I71" s="1" t="str">
        <f>"94.7"</f>
        <v>94.7</v>
      </c>
      <c r="J71" s="1" t="str">
        <f>"566.7"</f>
        <v>566.7</v>
      </c>
    </row>
    <row r="72" spans="1:10" x14ac:dyDescent="0.25">
      <c r="A72">
        <v>67</v>
      </c>
      <c r="B72" t="str">
        <f>"Bohren, Michelle (7649)"</f>
        <v>Bohren, Michelle (7649)</v>
      </c>
      <c r="C72" t="str">
        <f>"Taylor, MI"</f>
        <v>Taylor, MI</v>
      </c>
      <c r="D72" s="1" t="str">
        <f>"91.6"</f>
        <v>91.6</v>
      </c>
      <c r="E72" s="1" t="str">
        <f>"94.2"</f>
        <v>94.2</v>
      </c>
      <c r="F72" s="1" t="str">
        <f>"96.5"</f>
        <v>96.5</v>
      </c>
      <c r="G72" s="1" t="str">
        <f>"95.0"</f>
        <v>95.0</v>
      </c>
      <c r="H72" s="1" t="str">
        <f>"93.8"</f>
        <v>93.8</v>
      </c>
      <c r="I72" s="1" t="str">
        <f>"92.9"</f>
        <v>92.9</v>
      </c>
      <c r="J72" s="1" t="str">
        <f>"564.0"</f>
        <v>564.0</v>
      </c>
    </row>
    <row r="73" spans="1:10" x14ac:dyDescent="0.25">
      <c r="A73">
        <v>68</v>
      </c>
      <c r="B73" t="str">
        <f>"Kush, Aurora (427538)"</f>
        <v>Kush, Aurora (427538)</v>
      </c>
      <c r="C73" t="str">
        <f>"Cranberry, PA"</f>
        <v>Cranberry, PA</v>
      </c>
      <c r="D73" s="1" t="str">
        <f>"96.5"</f>
        <v>96.5</v>
      </c>
      <c r="E73" s="1" t="str">
        <f>"93.4"</f>
        <v>93.4</v>
      </c>
      <c r="F73" s="1" t="str">
        <f>"91.4"</f>
        <v>91.4</v>
      </c>
      <c r="G73" s="1" t="str">
        <f>"92.9"</f>
        <v>92.9</v>
      </c>
      <c r="H73" s="1" t="str">
        <f>"93.8"</f>
        <v>93.8</v>
      </c>
      <c r="I73" s="1" t="str">
        <f>"94.6"</f>
        <v>94.6</v>
      </c>
      <c r="J73" s="1" t="str">
        <f>"562.6"</f>
        <v>562.6</v>
      </c>
    </row>
    <row r="74" spans="1:10" x14ac:dyDescent="0.25">
      <c r="A74">
        <v>69</v>
      </c>
      <c r="B74" t="str">
        <f>"Small, Lena (432956)"</f>
        <v>Small, Lena (432956)</v>
      </c>
      <c r="C74" t="str">
        <f>"North Dighton, MA"</f>
        <v>North Dighton, MA</v>
      </c>
      <c r="D74" s="1" t="str">
        <f>"89.6"</f>
        <v>89.6</v>
      </c>
      <c r="E74" s="1" t="str">
        <f>"97.5"</f>
        <v>97.5</v>
      </c>
      <c r="F74" s="1" t="str">
        <f>"93.7"</f>
        <v>93.7</v>
      </c>
      <c r="G74" s="1" t="str">
        <f>"91.7"</f>
        <v>91.7</v>
      </c>
      <c r="H74" s="1" t="str">
        <f>"88.4"</f>
        <v>88.4</v>
      </c>
      <c r="I74" s="1" t="str">
        <f>"93.1"</f>
        <v>93.1</v>
      </c>
      <c r="J74" s="1" t="str">
        <f>"554.0"</f>
        <v>554.0</v>
      </c>
    </row>
    <row r="75" spans="1:10" x14ac:dyDescent="0.25">
      <c r="A75">
        <v>70</v>
      </c>
      <c r="B75" t="str">
        <f>"Feliz, Darcy (430360)"</f>
        <v>Feliz, Darcy (430360)</v>
      </c>
      <c r="C75" t="str">
        <f>"Springfield, VA"</f>
        <v>Springfield, VA</v>
      </c>
      <c r="D75" s="1" t="str">
        <f>"80.4"</f>
        <v>80.4</v>
      </c>
      <c r="E75" s="1" t="str">
        <f>"90.7"</f>
        <v>90.7</v>
      </c>
      <c r="F75" s="1" t="str">
        <f>"94.9"</f>
        <v>94.9</v>
      </c>
      <c r="G75" s="1" t="str">
        <f>"94.2"</f>
        <v>94.2</v>
      </c>
      <c r="H75" s="1" t="str">
        <f>"90.7"</f>
        <v>90.7</v>
      </c>
      <c r="I75" s="1" t="str">
        <f>"90.2"</f>
        <v>90.2</v>
      </c>
      <c r="J75" s="1" t="str">
        <f>"541.1"</f>
        <v>541.1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B14" sqref="B14"/>
    </sheetView>
  </sheetViews>
  <sheetFormatPr defaultRowHeight="15" x14ac:dyDescent="0.25"/>
  <cols>
    <col min="1" max="1" width="24" bestFit="1" customWidth="1"/>
    <col min="2" max="2" width="31.42578125" bestFit="1" customWidth="1"/>
    <col min="3" max="3" width="17.28515625" bestFit="1" customWidth="1"/>
    <col min="4" max="9" width="3" bestFit="1" customWidth="1"/>
    <col min="10" max="10" width="5.42578125" bestFit="1" customWidth="1"/>
  </cols>
  <sheetData>
    <row r="1" spans="1:11" x14ac:dyDescent="0.25">
      <c r="A1" t="str">
        <f>"2023 USAS Winter Air Gun"</f>
        <v>2023 USAS Winter Air Gun</v>
      </c>
      <c r="E1" s="1"/>
      <c r="F1" s="1"/>
      <c r="G1" s="1"/>
      <c r="H1" s="1"/>
      <c r="I1" s="1"/>
      <c r="J1" s="1"/>
      <c r="K1" s="1"/>
    </row>
    <row r="2" spans="1:11" x14ac:dyDescent="0.25">
      <c r="A2" t="s">
        <v>3</v>
      </c>
      <c r="E2" s="1"/>
      <c r="F2" s="1"/>
      <c r="G2" s="1"/>
      <c r="H2" s="1"/>
      <c r="I2" s="1"/>
      <c r="J2" s="1"/>
      <c r="K2" s="1"/>
    </row>
    <row r="3" spans="1:11" x14ac:dyDescent="0.25">
      <c r="A3" t="str">
        <f>""</f>
        <v/>
      </c>
      <c r="E3" s="1"/>
      <c r="F3" s="1"/>
      <c r="G3" s="1"/>
      <c r="H3" s="1"/>
      <c r="I3" s="1"/>
      <c r="J3" s="1"/>
      <c r="K3" s="1"/>
    </row>
    <row r="4" spans="1:11" x14ac:dyDescent="0.25">
      <c r="A4" t="str">
        <f>"Place"</f>
        <v>Place</v>
      </c>
      <c r="B4" t="str">
        <f>"Competitor (Comp Num)"</f>
        <v>Competitor (Comp Num)</v>
      </c>
      <c r="C4" t="str">
        <f>"Hometown"</f>
        <v>Hometown</v>
      </c>
      <c r="D4" s="1">
        <v>1</v>
      </c>
      <c r="E4" s="1">
        <v>2</v>
      </c>
      <c r="F4" s="1">
        <v>3</v>
      </c>
      <c r="G4" s="1">
        <v>4</v>
      </c>
      <c r="H4" s="1">
        <v>5</v>
      </c>
      <c r="I4" s="1">
        <v>6</v>
      </c>
      <c r="J4" s="1" t="str">
        <f>"Total"</f>
        <v>Total</v>
      </c>
    </row>
    <row r="5" spans="1:11" x14ac:dyDescent="0.25">
      <c r="A5" t="str">
        <f>"Men's - 10m Air Pistol"</f>
        <v>Men's - 10m Air Pistol</v>
      </c>
      <c r="D5" s="1"/>
      <c r="E5" s="1"/>
      <c r="F5" s="1"/>
      <c r="G5" s="1"/>
      <c r="H5" s="1"/>
      <c r="I5" s="1"/>
      <c r="J5" s="1"/>
    </row>
    <row r="6" spans="1:11" x14ac:dyDescent="0.25">
      <c r="A6">
        <v>1</v>
      </c>
      <c r="B6" t="str">
        <f>"Medina, Javier (345953)"</f>
        <v>Medina, Javier (345953)</v>
      </c>
      <c r="C6" t="str">
        <f>"Morouis, PR"</f>
        <v>Morouis, PR</v>
      </c>
      <c r="D6" s="1" t="str">
        <f>"88"</f>
        <v>88</v>
      </c>
      <c r="E6" s="1" t="str">
        <f>"92"</f>
        <v>92</v>
      </c>
      <c r="F6" s="1" t="str">
        <f>"92"</f>
        <v>92</v>
      </c>
      <c r="G6" s="1" t="str">
        <f>"94"</f>
        <v>94</v>
      </c>
      <c r="H6" s="1" t="str">
        <f>"94"</f>
        <v>94</v>
      </c>
      <c r="I6" s="1" t="str">
        <f>"94"</f>
        <v>94</v>
      </c>
      <c r="J6" s="1" t="str">
        <f>"554"</f>
        <v>554</v>
      </c>
    </row>
    <row r="7" spans="1:11" x14ac:dyDescent="0.25">
      <c r="A7">
        <v>2</v>
      </c>
      <c r="B7" t="str">
        <f>"Quintino, Dominic (431196)"</f>
        <v>Quintino, Dominic (431196)</v>
      </c>
      <c r="C7" t="str">
        <f>"Milford, MA"</f>
        <v>Milford, MA</v>
      </c>
      <c r="D7" s="1" t="str">
        <f>"89"</f>
        <v>89</v>
      </c>
      <c r="E7" s="1" t="str">
        <f>"93"</f>
        <v>93</v>
      </c>
      <c r="F7" s="1" t="str">
        <f>"94"</f>
        <v>94</v>
      </c>
      <c r="G7" s="1" t="str">
        <f>"94"</f>
        <v>94</v>
      </c>
      <c r="H7" s="1" t="str">
        <f>"92"</f>
        <v>92</v>
      </c>
      <c r="I7" s="1" t="str">
        <f>"91"</f>
        <v>91</v>
      </c>
      <c r="J7" s="1" t="str">
        <f>"553"</f>
        <v>553</v>
      </c>
    </row>
    <row r="8" spans="1:11" x14ac:dyDescent="0.25">
      <c r="A8">
        <v>3</v>
      </c>
      <c r="B8" t="str">
        <f>"Regala, William (386616)"</f>
        <v>Regala, William (386616)</v>
      </c>
      <c r="C8" t="str">
        <f>"Burke, VA"</f>
        <v>Burke, VA</v>
      </c>
      <c r="D8" s="1" t="str">
        <f>"95"</f>
        <v>95</v>
      </c>
      <c r="E8" s="1" t="str">
        <f>"89"</f>
        <v>89</v>
      </c>
      <c r="F8" s="1" t="str">
        <f>"90"</f>
        <v>90</v>
      </c>
      <c r="G8" s="1" t="str">
        <f>"94"</f>
        <v>94</v>
      </c>
      <c r="H8" s="1" t="str">
        <f>"89"</f>
        <v>89</v>
      </c>
      <c r="I8" s="1" t="str">
        <f>"92"</f>
        <v>92</v>
      </c>
      <c r="J8" s="1" t="str">
        <f>"549"</f>
        <v>549</v>
      </c>
    </row>
    <row r="9" spans="1:11" x14ac:dyDescent="0.25">
      <c r="A9">
        <v>4</v>
      </c>
      <c r="B9" t="str">
        <f>"Melus, Bernard (228890)"</f>
        <v>Melus, Bernard (228890)</v>
      </c>
      <c r="C9" t="str">
        <f>"Lake Zurich, IL"</f>
        <v>Lake Zurich, IL</v>
      </c>
      <c r="D9" s="1" t="str">
        <f>"96"</f>
        <v>96</v>
      </c>
      <c r="E9" s="1" t="str">
        <f>"92"</f>
        <v>92</v>
      </c>
      <c r="F9" s="1" t="str">
        <f>"93"</f>
        <v>93</v>
      </c>
      <c r="G9" s="1" t="str">
        <f>"89"</f>
        <v>89</v>
      </c>
      <c r="H9" s="1" t="str">
        <f>"88"</f>
        <v>88</v>
      </c>
      <c r="I9" s="1" t="str">
        <f>"86"</f>
        <v>86</v>
      </c>
      <c r="J9" s="1" t="str">
        <f>"544"</f>
        <v>544</v>
      </c>
    </row>
    <row r="10" spans="1:11" x14ac:dyDescent="0.25">
      <c r="A10">
        <v>5</v>
      </c>
      <c r="B10" t="str">
        <f>"Treml, Trevor, SSG, USAR (385506)"</f>
        <v>Treml, Trevor, SSG, USAR (385506)</v>
      </c>
      <c r="C10" t="str">
        <f>"Luxemburg, WI"</f>
        <v>Luxemburg, WI</v>
      </c>
      <c r="D10" s="1" t="str">
        <f>"89"</f>
        <v>89</v>
      </c>
      <c r="E10" s="1" t="str">
        <f>"92"</f>
        <v>92</v>
      </c>
      <c r="F10" s="1" t="str">
        <f>"85"</f>
        <v>85</v>
      </c>
      <c r="G10" s="1" t="str">
        <f>"91"</f>
        <v>91</v>
      </c>
      <c r="H10" s="1" t="str">
        <f>"93"</f>
        <v>93</v>
      </c>
      <c r="I10" s="1" t="str">
        <f>"88"</f>
        <v>88</v>
      </c>
      <c r="J10" s="1" t="str">
        <f>"538"</f>
        <v>538</v>
      </c>
    </row>
    <row r="11" spans="1:11" x14ac:dyDescent="0.25">
      <c r="A11">
        <v>6</v>
      </c>
      <c r="B11" t="str">
        <f>"Forman, David (345787)"</f>
        <v>Forman, David (345787)</v>
      </c>
      <c r="C11" t="str">
        <f>"Columbus, OH"</f>
        <v>Columbus, OH</v>
      </c>
      <c r="D11" s="1" t="str">
        <f>"88"</f>
        <v>88</v>
      </c>
      <c r="E11" s="1" t="str">
        <f>"89"</f>
        <v>89</v>
      </c>
      <c r="F11" s="1" t="str">
        <f>"91"</f>
        <v>91</v>
      </c>
      <c r="G11" s="1" t="str">
        <f>"91"</f>
        <v>91</v>
      </c>
      <c r="H11" s="1" t="str">
        <f>"90"</f>
        <v>90</v>
      </c>
      <c r="I11" s="1" t="str">
        <f>"88"</f>
        <v>88</v>
      </c>
      <c r="J11" s="1" t="str">
        <f>"537"</f>
        <v>537</v>
      </c>
    </row>
    <row r="12" spans="1:11" x14ac:dyDescent="0.25">
      <c r="A12">
        <v>7</v>
      </c>
      <c r="B12" t="str">
        <f>"Snyderman, Manuel (75021)"</f>
        <v>Snyderman, Manuel (75021)</v>
      </c>
      <c r="C12" t="str">
        <f>"Milford, MA"</f>
        <v>Milford, MA</v>
      </c>
      <c r="D12" s="1" t="str">
        <f>"89"</f>
        <v>89</v>
      </c>
      <c r="E12" s="1" t="str">
        <f>"85"</f>
        <v>85</v>
      </c>
      <c r="F12" s="1" t="str">
        <f>"93"</f>
        <v>93</v>
      </c>
      <c r="G12" s="1" t="str">
        <f>"90"</f>
        <v>90</v>
      </c>
      <c r="H12" s="1" t="str">
        <f>"88"</f>
        <v>88</v>
      </c>
      <c r="I12" s="1" t="str">
        <f>"88"</f>
        <v>88</v>
      </c>
      <c r="J12" s="1" t="str">
        <f>"533"</f>
        <v>533</v>
      </c>
    </row>
    <row r="13" spans="1:11" x14ac:dyDescent="0.25">
      <c r="A13">
        <v>8</v>
      </c>
      <c r="B13" t="str">
        <f>"Laing, Brennan (314608)"</f>
        <v>Laing, Brennan (314608)</v>
      </c>
      <c r="C13" t="str">
        <f>"Plymouth, MI"</f>
        <v>Plymouth, MI</v>
      </c>
      <c r="D13" s="1" t="str">
        <f>"88"</f>
        <v>88</v>
      </c>
      <c r="E13" s="1" t="str">
        <f>"90"</f>
        <v>90</v>
      </c>
      <c r="F13" s="1" t="str">
        <f>"88"</f>
        <v>88</v>
      </c>
      <c r="G13" s="1" t="str">
        <f>"92"</f>
        <v>92</v>
      </c>
      <c r="H13" s="1" t="str">
        <f>"86"</f>
        <v>86</v>
      </c>
      <c r="I13" s="1" t="str">
        <f>"87"</f>
        <v>87</v>
      </c>
      <c r="J13" s="1" t="str">
        <f>"531"</f>
        <v>531</v>
      </c>
    </row>
    <row r="14" spans="1:11" x14ac:dyDescent="0.25">
      <c r="A14">
        <v>9</v>
      </c>
      <c r="B14" t="str">
        <f>"Hess, Edward (94562)"</f>
        <v>Hess, Edward (94562)</v>
      </c>
      <c r="C14" t="str">
        <f>"Lakeland, FL"</f>
        <v>Lakeland, FL</v>
      </c>
      <c r="D14" s="1" t="str">
        <f>"89"</f>
        <v>89</v>
      </c>
      <c r="E14" s="1" t="str">
        <f>"89"</f>
        <v>89</v>
      </c>
      <c r="F14" s="1" t="str">
        <f>"86"</f>
        <v>86</v>
      </c>
      <c r="G14" s="1" t="str">
        <f>"88"</f>
        <v>88</v>
      </c>
      <c r="H14" s="1" t="str">
        <f>"87"</f>
        <v>87</v>
      </c>
      <c r="I14" s="1" t="str">
        <f>"88"</f>
        <v>88</v>
      </c>
      <c r="J14" s="1" t="str">
        <f>"527"</f>
        <v>527</v>
      </c>
    </row>
    <row r="15" spans="1:11" x14ac:dyDescent="0.25">
      <c r="A15">
        <v>10</v>
      </c>
      <c r="B15" t="str">
        <f>"Quintino, Tom (430111)"</f>
        <v>Quintino, Tom (430111)</v>
      </c>
      <c r="C15" t="str">
        <f>"Milford, MA"</f>
        <v>Milford, MA</v>
      </c>
      <c r="D15" s="1" t="str">
        <f>"88"</f>
        <v>88</v>
      </c>
      <c r="E15" s="1" t="str">
        <f>"88"</f>
        <v>88</v>
      </c>
      <c r="F15" s="1" t="str">
        <f>"93"</f>
        <v>93</v>
      </c>
      <c r="G15" s="1" t="str">
        <f>"87"</f>
        <v>87</v>
      </c>
      <c r="H15" s="1" t="str">
        <f>"83"</f>
        <v>83</v>
      </c>
      <c r="I15" s="1" t="str">
        <f>"87"</f>
        <v>87</v>
      </c>
      <c r="J15" s="1" t="str">
        <f>"526"</f>
        <v>526</v>
      </c>
    </row>
    <row r="16" spans="1:11" x14ac:dyDescent="0.25">
      <c r="A16">
        <v>11</v>
      </c>
      <c r="B16" t="str">
        <f>"Poulin, Sam (409668)"</f>
        <v>Poulin, Sam (409668)</v>
      </c>
      <c r="C16" t="str">
        <f>"Scarborough, ME"</f>
        <v>Scarborough, ME</v>
      </c>
      <c r="D16" s="1" t="str">
        <f>"84"</f>
        <v>84</v>
      </c>
      <c r="E16" s="1" t="str">
        <f>"86"</f>
        <v>86</v>
      </c>
      <c r="F16" s="1" t="str">
        <f>"93"</f>
        <v>93</v>
      </c>
      <c r="G16" s="1" t="str">
        <f>"84"</f>
        <v>84</v>
      </c>
      <c r="H16" s="1" t="str">
        <f>"91"</f>
        <v>91</v>
      </c>
      <c r="I16" s="1" t="str">
        <f>"83"</f>
        <v>83</v>
      </c>
      <c r="J16" s="1" t="str">
        <f>"521"</f>
        <v>521</v>
      </c>
    </row>
    <row r="17" spans="1:10" x14ac:dyDescent="0.25">
      <c r="A17">
        <v>12</v>
      </c>
      <c r="B17" t="str">
        <f>"Lemmon, Matthew (395694)"</f>
        <v>Lemmon, Matthew (395694)</v>
      </c>
      <c r="C17" t="str">
        <f>"Clyde, OH"</f>
        <v>Clyde, OH</v>
      </c>
      <c r="D17" s="1" t="str">
        <f>"87"</f>
        <v>87</v>
      </c>
      <c r="E17" s="1" t="str">
        <f>"88"</f>
        <v>88</v>
      </c>
      <c r="F17" s="1" t="str">
        <f>"86"</f>
        <v>86</v>
      </c>
      <c r="G17" s="1" t="str">
        <f>"85"</f>
        <v>85</v>
      </c>
      <c r="H17" s="1" t="str">
        <f>"88"</f>
        <v>88</v>
      </c>
      <c r="I17" s="1" t="str">
        <f>"86"</f>
        <v>86</v>
      </c>
      <c r="J17" s="1" t="str">
        <f>"520"</f>
        <v>520</v>
      </c>
    </row>
    <row r="18" spans="1:10" x14ac:dyDescent="0.25">
      <c r="A18">
        <v>13</v>
      </c>
      <c r="B18" t="str">
        <f>"Arkin, Elie (437013)"</f>
        <v>Arkin, Elie (437013)</v>
      </c>
      <c r="C18" t="str">
        <f>"Falls Church, VA"</f>
        <v>Falls Church, VA</v>
      </c>
      <c r="D18" s="1" t="str">
        <f>"86"</f>
        <v>86</v>
      </c>
      <c r="E18" s="1" t="str">
        <f>"83"</f>
        <v>83</v>
      </c>
      <c r="F18" s="1" t="str">
        <f>"86"</f>
        <v>86</v>
      </c>
      <c r="G18" s="1" t="str">
        <f>"85"</f>
        <v>85</v>
      </c>
      <c r="H18" s="1" t="str">
        <f>"91"</f>
        <v>91</v>
      </c>
      <c r="I18" s="1" t="str">
        <f>"85"</f>
        <v>85</v>
      </c>
      <c r="J18" s="1" t="str">
        <f>"516"</f>
        <v>516</v>
      </c>
    </row>
    <row r="19" spans="1:10" x14ac:dyDescent="0.25">
      <c r="A19">
        <v>14</v>
      </c>
      <c r="B19" t="str">
        <f>"D'Souza, David (318885)"</f>
        <v>D'Souza, David (318885)</v>
      </c>
      <c r="C19" t="str">
        <f>"Ellicott City, MD"</f>
        <v>Ellicott City, MD</v>
      </c>
      <c r="D19" s="1" t="str">
        <f>"85"</f>
        <v>85</v>
      </c>
      <c r="E19" s="1" t="str">
        <f>"84"</f>
        <v>84</v>
      </c>
      <c r="F19" s="1" t="str">
        <f>"90"</f>
        <v>90</v>
      </c>
      <c r="G19" s="1" t="str">
        <f>"86"</f>
        <v>86</v>
      </c>
      <c r="H19" s="1" t="str">
        <f>"81"</f>
        <v>81</v>
      </c>
      <c r="I19" s="1" t="str">
        <f>"89"</f>
        <v>89</v>
      </c>
      <c r="J19" s="1" t="str">
        <f>"515"</f>
        <v>515</v>
      </c>
    </row>
    <row r="20" spans="1:10" x14ac:dyDescent="0.25">
      <c r="A20">
        <v>15</v>
      </c>
      <c r="B20" t="str">
        <f>"Hankins, Blake (374783)"</f>
        <v>Hankins, Blake (374783)</v>
      </c>
      <c r="C20" t="str">
        <f>"Lansing, MI"</f>
        <v>Lansing, MI</v>
      </c>
      <c r="D20" s="1" t="str">
        <f>"83"</f>
        <v>83</v>
      </c>
      <c r="E20" s="1" t="str">
        <f>"88"</f>
        <v>88</v>
      </c>
      <c r="F20" s="1" t="str">
        <f>"88"</f>
        <v>88</v>
      </c>
      <c r="G20" s="1" t="str">
        <f>"82"</f>
        <v>82</v>
      </c>
      <c r="H20" s="1" t="str">
        <f>"84"</f>
        <v>84</v>
      </c>
      <c r="I20" s="1" t="str">
        <f>"89"</f>
        <v>89</v>
      </c>
      <c r="J20" s="1" t="str">
        <f>"514"</f>
        <v>514</v>
      </c>
    </row>
    <row r="21" spans="1:10" x14ac:dyDescent="0.25">
      <c r="A21">
        <v>16</v>
      </c>
      <c r="B21" t="str">
        <f>"Alkhawaja, Saad (380381)"</f>
        <v>Alkhawaja, Saad (380381)</v>
      </c>
      <c r="C21" t="str">
        <f>"Downers Grove, IL"</f>
        <v>Downers Grove, IL</v>
      </c>
      <c r="D21" s="1" t="str">
        <f>"82"</f>
        <v>82</v>
      </c>
      <c r="E21" s="1" t="str">
        <f>"80"</f>
        <v>80</v>
      </c>
      <c r="F21" s="1" t="str">
        <f>"91"</f>
        <v>91</v>
      </c>
      <c r="G21" s="1" t="str">
        <f>"79"</f>
        <v>79</v>
      </c>
      <c r="H21" s="1" t="str">
        <f>"84"</f>
        <v>84</v>
      </c>
      <c r="I21" s="1" t="str">
        <f>"87"</f>
        <v>87</v>
      </c>
      <c r="J21" s="1" t="str">
        <f>"503"</f>
        <v>503</v>
      </c>
    </row>
    <row r="22" spans="1:10" x14ac:dyDescent="0.25">
      <c r="A22">
        <v>17</v>
      </c>
      <c r="B22" t="str">
        <f>"Muzik, Matthew, USMC (242294)"</f>
        <v>Muzik, Matthew, USMC (242294)</v>
      </c>
      <c r="C22" t="str">
        <f>"Green Springs, OH"</f>
        <v>Green Springs, OH</v>
      </c>
      <c r="D22" s="1" t="str">
        <f>"82"</f>
        <v>82</v>
      </c>
      <c r="E22" s="1" t="str">
        <f>"79"</f>
        <v>79</v>
      </c>
      <c r="F22" s="1" t="str">
        <f>"80"</f>
        <v>80</v>
      </c>
      <c r="G22" s="1" t="str">
        <f>"78"</f>
        <v>78</v>
      </c>
      <c r="H22" s="1" t="str">
        <f>"85"</f>
        <v>85</v>
      </c>
      <c r="I22" s="1" t="str">
        <f>"89"</f>
        <v>89</v>
      </c>
      <c r="J22" s="1" t="str">
        <f>"493"</f>
        <v>493</v>
      </c>
    </row>
    <row r="23" spans="1:10" x14ac:dyDescent="0.25">
      <c r="A23">
        <v>18</v>
      </c>
      <c r="B23" t="str">
        <f>"Bergman, Dalton (279871)"</f>
        <v>Bergman, Dalton (279871)</v>
      </c>
      <c r="C23" t="str">
        <f>"Oak Harbor, OH"</f>
        <v>Oak Harbor, OH</v>
      </c>
      <c r="D23" s="1" t="str">
        <f>"85"</f>
        <v>85</v>
      </c>
      <c r="E23" s="1" t="str">
        <f>"78"</f>
        <v>78</v>
      </c>
      <c r="F23" s="1" t="str">
        <f>"81"</f>
        <v>81</v>
      </c>
      <c r="G23" s="1" t="str">
        <f>"74"</f>
        <v>74</v>
      </c>
      <c r="H23" s="1" t="str">
        <f>"90"</f>
        <v>90</v>
      </c>
      <c r="I23" s="1" t="str">
        <f>"80"</f>
        <v>80</v>
      </c>
      <c r="J23" s="1" t="str">
        <f>"488"</f>
        <v>488</v>
      </c>
    </row>
    <row r="24" spans="1:10" x14ac:dyDescent="0.25">
      <c r="A24">
        <v>19</v>
      </c>
      <c r="B24" t="str">
        <f>"Rice, Gregg (99129)"</f>
        <v>Rice, Gregg (99129)</v>
      </c>
      <c r="C24" t="str">
        <f>"Columbia City, IN"</f>
        <v>Columbia City, IN</v>
      </c>
      <c r="D24" s="1" t="str">
        <f>"84"</f>
        <v>84</v>
      </c>
      <c r="E24" s="1" t="str">
        <f>"85"</f>
        <v>85</v>
      </c>
      <c r="F24" s="1" t="str">
        <f>"81"</f>
        <v>81</v>
      </c>
      <c r="G24" s="1" t="str">
        <f>"78"</f>
        <v>78</v>
      </c>
      <c r="H24" s="1" t="str">
        <f>"78"</f>
        <v>78</v>
      </c>
      <c r="I24" s="1" t="str">
        <f>"77"</f>
        <v>77</v>
      </c>
      <c r="J24" s="1" t="str">
        <f>"483"</f>
        <v>483</v>
      </c>
    </row>
    <row r="25" spans="1:10" x14ac:dyDescent="0.25">
      <c r="A25">
        <v>20</v>
      </c>
      <c r="B25" t="str">
        <f>"Moos, Brad (52552)"</f>
        <v>Moos, Brad (52552)</v>
      </c>
      <c r="C25" t="str">
        <f>"South Vienna, OH"</f>
        <v>South Vienna, OH</v>
      </c>
      <c r="D25" s="1" t="str">
        <f>"75"</f>
        <v>75</v>
      </c>
      <c r="E25" s="1" t="str">
        <f>"61"</f>
        <v>61</v>
      </c>
      <c r="F25" s="1" t="str">
        <f>"62"</f>
        <v>62</v>
      </c>
      <c r="G25" s="1" t="str">
        <f>"66"</f>
        <v>66</v>
      </c>
      <c r="H25" s="1" t="str">
        <f>"75"</f>
        <v>75</v>
      </c>
      <c r="I25" s="1" t="str">
        <f>"79"</f>
        <v>79</v>
      </c>
      <c r="J25" s="1" t="str">
        <f>"418"</f>
        <v>418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6" sqref="A6"/>
    </sheetView>
  </sheetViews>
  <sheetFormatPr defaultRowHeight="15" x14ac:dyDescent="0.25"/>
  <cols>
    <col min="1" max="1" width="24" bestFit="1" customWidth="1"/>
    <col min="2" max="2" width="30.28515625" bestFit="1" customWidth="1"/>
    <col min="3" max="3" width="16.140625" bestFit="1" customWidth="1"/>
    <col min="4" max="9" width="3" bestFit="1" customWidth="1"/>
    <col min="10" max="10" width="5.42578125" bestFit="1" customWidth="1"/>
  </cols>
  <sheetData>
    <row r="1" spans="1:11" x14ac:dyDescent="0.25">
      <c r="A1" t="str">
        <f>"2023 USAS Winter Air Gun"</f>
        <v>2023 USAS Winter Air Gun</v>
      </c>
      <c r="E1" s="1"/>
      <c r="F1" s="1"/>
      <c r="G1" s="1"/>
      <c r="H1" s="1"/>
      <c r="I1" s="1"/>
      <c r="J1" s="1"/>
      <c r="K1" s="1"/>
    </row>
    <row r="2" spans="1:11" x14ac:dyDescent="0.25">
      <c r="A2" t="s">
        <v>3</v>
      </c>
      <c r="E2" s="1"/>
      <c r="F2" s="1"/>
      <c r="G2" s="1"/>
      <c r="H2" s="1"/>
      <c r="I2" s="1"/>
      <c r="J2" s="1"/>
      <c r="K2" s="1"/>
    </row>
    <row r="3" spans="1:11" x14ac:dyDescent="0.25">
      <c r="A3" t="str">
        <f>""</f>
        <v/>
      </c>
      <c r="E3" s="1"/>
      <c r="F3" s="1"/>
      <c r="G3" s="1"/>
      <c r="H3" s="1"/>
      <c r="I3" s="1"/>
      <c r="J3" s="1"/>
      <c r="K3" s="1"/>
    </row>
    <row r="4" spans="1:11" x14ac:dyDescent="0.25">
      <c r="A4" t="str">
        <f>"Place"</f>
        <v>Place</v>
      </c>
      <c r="B4" t="str">
        <f>"Competitor (Comp Num)"</f>
        <v>Competitor (Comp Num)</v>
      </c>
      <c r="C4" t="str">
        <f>"Hometown"</f>
        <v>Hometown</v>
      </c>
      <c r="D4" s="1">
        <v>1</v>
      </c>
      <c r="E4" s="1">
        <v>2</v>
      </c>
      <c r="F4" s="1">
        <v>3</v>
      </c>
      <c r="G4" s="1">
        <v>4</v>
      </c>
      <c r="H4" s="1">
        <v>5</v>
      </c>
      <c r="I4" s="1">
        <v>6</v>
      </c>
      <c r="J4" s="1" t="str">
        <f>"Total"</f>
        <v>Total</v>
      </c>
    </row>
    <row r="5" spans="1:11" x14ac:dyDescent="0.25">
      <c r="A5" t="str">
        <f>"Women's - 10m Air Pistol"</f>
        <v>Women's - 10m Air Pistol</v>
      </c>
      <c r="D5" s="1" t="str">
        <f>""</f>
        <v/>
      </c>
      <c r="E5" s="1" t="str">
        <f>""</f>
        <v/>
      </c>
      <c r="F5" s="1" t="str">
        <f>""</f>
        <v/>
      </c>
      <c r="G5" s="1" t="str">
        <f>""</f>
        <v/>
      </c>
      <c r="H5" s="1" t="str">
        <f>""</f>
        <v/>
      </c>
      <c r="I5" s="1" t="str">
        <f>""</f>
        <v/>
      </c>
      <c r="J5" s="1" t="str">
        <f>""</f>
        <v/>
      </c>
    </row>
    <row r="6" spans="1:11" x14ac:dyDescent="0.25">
      <c r="A6">
        <v>1</v>
      </c>
      <c r="B6" t="str">
        <f>"Acosta, Laura (400369)"</f>
        <v>Acosta, Laura (400369)</v>
      </c>
      <c r="C6" t="str">
        <f>"Ponce, PR"</f>
        <v>Ponce, PR</v>
      </c>
      <c r="D6" s="1" t="str">
        <f>"92"</f>
        <v>92</v>
      </c>
      <c r="E6" s="1" t="str">
        <f>"94"</f>
        <v>94</v>
      </c>
      <c r="F6" s="1" t="str">
        <f>"92"</f>
        <v>92</v>
      </c>
      <c r="G6" s="1" t="str">
        <f>"95"</f>
        <v>95</v>
      </c>
      <c r="H6" s="1" t="str">
        <f>"94"</f>
        <v>94</v>
      </c>
      <c r="I6" s="1" t="str">
        <f>"90"</f>
        <v>90</v>
      </c>
      <c r="J6" s="1" t="str">
        <f>"557"</f>
        <v>557</v>
      </c>
    </row>
    <row r="7" spans="1:11" x14ac:dyDescent="0.25">
      <c r="A7">
        <v>2</v>
      </c>
      <c r="B7" t="str">
        <f>"Ganstooj, Maral (431669)"</f>
        <v>Ganstooj, Maral (431669)</v>
      </c>
      <c r="C7" t="str">
        <f>"Schaumburg, IL"</f>
        <v>Schaumburg, IL</v>
      </c>
      <c r="D7" s="1" t="str">
        <f>"89"</f>
        <v>89</v>
      </c>
      <c r="E7" s="1" t="str">
        <f>"92"</f>
        <v>92</v>
      </c>
      <c r="F7" s="1" t="str">
        <f>"90"</f>
        <v>90</v>
      </c>
      <c r="G7" s="1" t="str">
        <f>"92"</f>
        <v>92</v>
      </c>
      <c r="H7" s="1" t="str">
        <f>"87"</f>
        <v>87</v>
      </c>
      <c r="I7" s="1" t="str">
        <f>"88"</f>
        <v>88</v>
      </c>
      <c r="J7" s="1" t="str">
        <f>"538"</f>
        <v>538</v>
      </c>
    </row>
    <row r="8" spans="1:11" x14ac:dyDescent="0.25">
      <c r="A8">
        <v>3</v>
      </c>
      <c r="B8" t="str">
        <f>"Deokule, Ankita (400381)"</f>
        <v>Deokule, Ankita (400381)</v>
      </c>
      <c r="C8" t="str">
        <f>"Lutz, FL"</f>
        <v>Lutz, FL</v>
      </c>
      <c r="D8" s="1" t="str">
        <f>"88"</f>
        <v>88</v>
      </c>
      <c r="E8" s="1" t="str">
        <f>"88"</f>
        <v>88</v>
      </c>
      <c r="F8" s="1" t="str">
        <f>"90"</f>
        <v>90</v>
      </c>
      <c r="G8" s="1" t="str">
        <f>"88"</f>
        <v>88</v>
      </c>
      <c r="H8" s="1" t="str">
        <f>"90"</f>
        <v>90</v>
      </c>
      <c r="I8" s="1" t="str">
        <f>"91"</f>
        <v>91</v>
      </c>
      <c r="J8" s="1" t="str">
        <f>"535"</f>
        <v>535</v>
      </c>
    </row>
    <row r="9" spans="1:11" x14ac:dyDescent="0.25">
      <c r="A9">
        <v>4</v>
      </c>
      <c r="B9" t="str">
        <f>"Singh, Saanvi (400475)"</f>
        <v>Singh, Saanvi (400475)</v>
      </c>
      <c r="C9" t="str">
        <f>"Schaumburg, IL"</f>
        <v>Schaumburg, IL</v>
      </c>
      <c r="D9" s="1" t="str">
        <f>"84"</f>
        <v>84</v>
      </c>
      <c r="E9" s="1" t="str">
        <f>"88"</f>
        <v>88</v>
      </c>
      <c r="F9" s="1" t="str">
        <f>"93"</f>
        <v>93</v>
      </c>
      <c r="G9" s="1" t="str">
        <f>"91"</f>
        <v>91</v>
      </c>
      <c r="H9" s="1" t="str">
        <f>"91"</f>
        <v>91</v>
      </c>
      <c r="I9" s="1" t="str">
        <f>"87"</f>
        <v>87</v>
      </c>
      <c r="J9" s="1" t="str">
        <f>"534"</f>
        <v>534</v>
      </c>
    </row>
    <row r="10" spans="1:11" x14ac:dyDescent="0.25">
      <c r="A10">
        <v>5</v>
      </c>
      <c r="B10" t="str">
        <f>"Deokule, Anjali (400379)"</f>
        <v>Deokule, Anjali (400379)</v>
      </c>
      <c r="C10" t="str">
        <f>"Lutz, FL"</f>
        <v>Lutz, FL</v>
      </c>
      <c r="D10" s="1" t="str">
        <f>"86"</f>
        <v>86</v>
      </c>
      <c r="E10" s="1" t="str">
        <f>"83"</f>
        <v>83</v>
      </c>
      <c r="F10" s="1" t="str">
        <f>"90"</f>
        <v>90</v>
      </c>
      <c r="G10" s="1" t="str">
        <f>"86"</f>
        <v>86</v>
      </c>
      <c r="H10" s="1" t="str">
        <f>"86"</f>
        <v>86</v>
      </c>
      <c r="I10" s="1" t="str">
        <f>"92"</f>
        <v>92</v>
      </c>
      <c r="J10" s="1" t="str">
        <f>"523"</f>
        <v>523</v>
      </c>
    </row>
    <row r="11" spans="1:11" x14ac:dyDescent="0.25">
      <c r="A11">
        <v>6</v>
      </c>
      <c r="B11" t="str">
        <f>"Freed, Debra, Sgt, USAF (415826)"</f>
        <v>Freed, Debra, Sgt, USAF (415826)</v>
      </c>
      <c r="C11" t="str">
        <f>"Framingham, MA"</f>
        <v>Framingham, MA</v>
      </c>
      <c r="D11" s="1" t="str">
        <f>"76"</f>
        <v>76</v>
      </c>
      <c r="E11" s="1" t="str">
        <f>"90"</f>
        <v>90</v>
      </c>
      <c r="F11" s="1" t="str">
        <f>"83"</f>
        <v>83</v>
      </c>
      <c r="G11" s="1" t="str">
        <f>"83"</f>
        <v>83</v>
      </c>
      <c r="H11" s="1" t="str">
        <f>"82"</f>
        <v>82</v>
      </c>
      <c r="I11" s="1" t="str">
        <f>"84"</f>
        <v>84</v>
      </c>
      <c r="J11" s="1" t="str">
        <f>"498"</f>
        <v>498</v>
      </c>
    </row>
    <row r="12" spans="1:11" x14ac:dyDescent="0.25">
      <c r="A12">
        <v>7</v>
      </c>
      <c r="B12" t="str">
        <f>"Slosnerick, Jackie (95168)"</f>
        <v>Slosnerick, Jackie (95168)</v>
      </c>
      <c r="C12" t="str">
        <f>"Oak Harbor, OH"</f>
        <v>Oak Harbor, OH</v>
      </c>
      <c r="D12" s="1" t="str">
        <f>"81"</f>
        <v>81</v>
      </c>
      <c r="E12" s="1" t="str">
        <f>"77"</f>
        <v>77</v>
      </c>
      <c r="F12" s="1" t="str">
        <f>"80"</f>
        <v>80</v>
      </c>
      <c r="G12" s="1" t="str">
        <f>"86"</f>
        <v>86</v>
      </c>
      <c r="H12" s="1" t="str">
        <f>"79"</f>
        <v>79</v>
      </c>
      <c r="I12" s="1" t="str">
        <f>"83"</f>
        <v>83</v>
      </c>
      <c r="J12" s="1" t="str">
        <f>"486"</f>
        <v>486</v>
      </c>
    </row>
    <row r="13" spans="1:11" x14ac:dyDescent="0.25">
      <c r="A13">
        <v>8</v>
      </c>
      <c r="B13" t="str">
        <f>"Schleinkofer, Chloe (355180)"</f>
        <v>Schleinkofer, Chloe (355180)</v>
      </c>
      <c r="C13" t="str">
        <f>"Fort Wayne, IN"</f>
        <v>Fort Wayne, IN</v>
      </c>
      <c r="D13" s="1" t="str">
        <f>"59"</f>
        <v>59</v>
      </c>
      <c r="E13" s="1" t="str">
        <f>"63"</f>
        <v>63</v>
      </c>
      <c r="F13" s="1" t="str">
        <f>"63"</f>
        <v>63</v>
      </c>
      <c r="G13" s="1" t="str">
        <f>"80"</f>
        <v>80</v>
      </c>
      <c r="H13" s="1" t="str">
        <f>"71"</f>
        <v>71</v>
      </c>
      <c r="I13" s="1" t="str">
        <f>"77"</f>
        <v>77</v>
      </c>
      <c r="J13" s="1" t="str">
        <f>"413"</f>
        <v>413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A2" sqref="A2"/>
    </sheetView>
  </sheetViews>
  <sheetFormatPr defaultRowHeight="15" x14ac:dyDescent="0.25"/>
  <cols>
    <col min="1" max="1" width="24" bestFit="1" customWidth="1"/>
    <col min="2" max="2" width="23.28515625" bestFit="1" customWidth="1"/>
    <col min="3" max="3" width="10.85546875" bestFit="1" customWidth="1"/>
    <col min="4" max="4" width="5.85546875" bestFit="1" customWidth="1"/>
    <col min="5" max="5" width="5.5703125" bestFit="1" customWidth="1"/>
    <col min="6" max="11" width="6" bestFit="1" customWidth="1"/>
  </cols>
  <sheetData>
    <row r="1" spans="1:11" x14ac:dyDescent="0.25">
      <c r="A1" t="str">
        <f>"2023 USAS Winter Air Gun"</f>
        <v>2023 USAS Winter Air Gun</v>
      </c>
      <c r="E1" s="1"/>
      <c r="F1" s="1"/>
      <c r="G1" s="1"/>
      <c r="H1" s="1"/>
      <c r="I1" s="1"/>
      <c r="J1" s="1"/>
      <c r="K1" s="1"/>
    </row>
    <row r="2" spans="1:11" x14ac:dyDescent="0.25">
      <c r="A2" t="s">
        <v>3</v>
      </c>
      <c r="E2" s="1"/>
      <c r="F2" s="1"/>
      <c r="G2" s="1"/>
      <c r="H2" s="1"/>
      <c r="I2" s="1"/>
      <c r="J2" s="1"/>
      <c r="K2" s="1"/>
    </row>
    <row r="3" spans="1:11" x14ac:dyDescent="0.25">
      <c r="A3" t="str">
        <f>""</f>
        <v/>
      </c>
      <c r="E3" s="1"/>
      <c r="F3" s="1"/>
      <c r="G3" s="1"/>
      <c r="H3" s="1"/>
      <c r="I3" s="1"/>
      <c r="J3" s="1"/>
      <c r="K3" s="1"/>
    </row>
    <row r="4" spans="1:11" x14ac:dyDescent="0.25">
      <c r="A4" t="str">
        <f>"Place"</f>
        <v>Place</v>
      </c>
      <c r="B4" t="str">
        <f>"Competitor (Comp Num)"</f>
        <v>Competitor (Comp Num)</v>
      </c>
      <c r="C4" t="str">
        <f>"Hometown"</f>
        <v>Hometown</v>
      </c>
      <c r="D4" t="str">
        <f>"Stage"</f>
        <v>Stage</v>
      </c>
      <c r="E4" s="1">
        <v>1</v>
      </c>
      <c r="F4" s="1">
        <v>2</v>
      </c>
      <c r="G4" s="1">
        <v>3</v>
      </c>
      <c r="H4" s="1">
        <v>4</v>
      </c>
      <c r="I4" s="1">
        <v>5</v>
      </c>
      <c r="J4" s="1">
        <v>6</v>
      </c>
      <c r="K4" s="1" t="str">
        <f>"Total"</f>
        <v>Total</v>
      </c>
    </row>
    <row r="5" spans="1:11" x14ac:dyDescent="0.25">
      <c r="A5" t="s">
        <v>2</v>
      </c>
      <c r="E5" s="1"/>
      <c r="F5" s="1"/>
      <c r="G5" s="1"/>
      <c r="H5" s="1"/>
      <c r="I5" s="1"/>
      <c r="J5" s="1"/>
      <c r="K5" s="1"/>
    </row>
    <row r="6" spans="1:11" x14ac:dyDescent="0.25">
      <c r="A6">
        <v>1</v>
      </c>
      <c r="B6" t="str">
        <f>"Heideman, Eric (431758)"</f>
        <v>Heideman, Eric (431758)</v>
      </c>
      <c r="C6" t="str">
        <f>"Hayes, VA"</f>
        <v>Hayes, VA</v>
      </c>
      <c r="D6" s="1" t="s">
        <v>1</v>
      </c>
      <c r="E6" s="1" t="str">
        <f>"102.1"</f>
        <v>102.1</v>
      </c>
      <c r="F6" s="1" t="str">
        <f>"95.1"</f>
        <v>95.1</v>
      </c>
      <c r="G6" s="1" t="str">
        <f>"96.4"</f>
        <v>96.4</v>
      </c>
      <c r="H6" s="1" t="str">
        <f>"99.6"</f>
        <v>99.6</v>
      </c>
      <c r="I6" s="1" t="str">
        <f>"101.3"</f>
        <v>101.3</v>
      </c>
      <c r="J6" s="1" t="str">
        <f>"100.1"</f>
        <v>100.1</v>
      </c>
      <c r="K6" s="1" t="str">
        <f>"594.6"</f>
        <v>594.6</v>
      </c>
    </row>
    <row r="7" spans="1:11" x14ac:dyDescent="0.25">
      <c r="A7" t="str">
        <f>""</f>
        <v/>
      </c>
      <c r="B7" t="str">
        <f>""</f>
        <v/>
      </c>
      <c r="C7" t="str">
        <f>""</f>
        <v/>
      </c>
      <c r="D7" s="1" t="s">
        <v>0</v>
      </c>
      <c r="E7" s="1">
        <v>103</v>
      </c>
      <c r="F7" s="1">
        <v>104.4</v>
      </c>
      <c r="G7" s="1">
        <v>104.6</v>
      </c>
      <c r="H7" s="1">
        <v>103.5</v>
      </c>
      <c r="I7" s="1">
        <v>104.2</v>
      </c>
      <c r="J7" s="1">
        <v>104.8</v>
      </c>
      <c r="K7" s="1">
        <v>624.5</v>
      </c>
    </row>
    <row r="8" spans="1:11" x14ac:dyDescent="0.25">
      <c r="A8" t="str">
        <f>""</f>
        <v/>
      </c>
      <c r="B8" t="str">
        <f>""</f>
        <v/>
      </c>
      <c r="C8" t="str">
        <f>""</f>
        <v/>
      </c>
      <c r="D8" s="1"/>
      <c r="E8" s="1"/>
      <c r="F8" s="1"/>
      <c r="G8" s="1"/>
      <c r="H8" s="1"/>
      <c r="I8" s="1"/>
      <c r="J8" s="1"/>
      <c r="K8" s="1"/>
    </row>
    <row r="9" spans="1:11" x14ac:dyDescent="0.25">
      <c r="A9">
        <v>2</v>
      </c>
      <c r="B9" t="str">
        <f>"Knight, Sidney (306836)"</f>
        <v>Knight, Sidney (306836)</v>
      </c>
      <c r="C9" t="str">
        <f>"Oil City, PA"</f>
        <v>Oil City, PA</v>
      </c>
      <c r="D9" s="1" t="s">
        <v>1</v>
      </c>
      <c r="E9" s="1">
        <v>98.7</v>
      </c>
      <c r="F9" s="1">
        <v>94.5</v>
      </c>
      <c r="G9" s="1">
        <v>90.2</v>
      </c>
      <c r="H9" s="1">
        <v>93.9</v>
      </c>
      <c r="I9" s="1">
        <v>103.2</v>
      </c>
      <c r="J9" s="1">
        <v>99.1</v>
      </c>
      <c r="K9" s="1">
        <v>579.6</v>
      </c>
    </row>
    <row r="10" spans="1:11" x14ac:dyDescent="0.25">
      <c r="A10" t="str">
        <f>""</f>
        <v/>
      </c>
      <c r="B10" t="str">
        <f>""</f>
        <v/>
      </c>
      <c r="C10" t="str">
        <f>""</f>
        <v/>
      </c>
      <c r="D10" s="1" t="s">
        <v>0</v>
      </c>
      <c r="E10" s="1" t="str">
        <f>"101.4"</f>
        <v>101.4</v>
      </c>
      <c r="F10" s="1" t="str">
        <f>"103.9"</f>
        <v>103.9</v>
      </c>
      <c r="G10" s="1" t="str">
        <f>"104.5"</f>
        <v>104.5</v>
      </c>
      <c r="H10" s="1" t="str">
        <f>"100.3"</f>
        <v>100.3</v>
      </c>
      <c r="I10" s="1" t="str">
        <f>"100.1"</f>
        <v>100.1</v>
      </c>
      <c r="J10" s="1" t="str">
        <f>"103.8"</f>
        <v>103.8</v>
      </c>
      <c r="K10" s="1" t="str">
        <f>"614.0"</f>
        <v>614.0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MAR</vt:lpstr>
      <vt:lpstr>WAR</vt:lpstr>
      <vt:lpstr>MAP</vt:lpstr>
      <vt:lpstr>WAP</vt:lpstr>
      <vt:lpstr>PARA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CMP</dc:creator>
  <cp:lastModifiedBy>CMP</cp:lastModifiedBy>
  <dcterms:created xsi:type="dcterms:W3CDTF">2023-12-09T19:49:22Z</dcterms:created>
  <dcterms:modified xsi:type="dcterms:W3CDTF">2023-12-09T19:55:51Z</dcterms:modified>
</cp:coreProperties>
</file>